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C:\Users\Konplast\Desktop\"/>
    </mc:Choice>
  </mc:AlternateContent>
  <xr:revisionPtr revIDLastSave="0" documentId="13_ncr:1_{639039B2-DB2D-4E6D-BD86-4FFBE4E6E16A}" xr6:coauthVersionLast="47" xr6:coauthVersionMax="47" xr10:uidLastSave="{00000000-0000-0000-0000-000000000000}"/>
  <bookViews>
    <workbookView xWindow="-120" yWindow="-120" windowWidth="29040" windowHeight="15840" tabRatio="583" firstSheet="1" activeTab="5"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81029"/>
</workbook>
</file>

<file path=xl/calcChain.xml><?xml version="1.0" encoding="utf-8"?>
<calcChain xmlns="http://schemas.openxmlformats.org/spreadsheetml/2006/main">
  <c r="L1478" i="9" l="1"/>
  <c r="J1478" i="9"/>
  <c r="F348" i="9"/>
  <c r="F347" i="9"/>
  <c r="F346" i="9"/>
  <c r="F345" i="9"/>
  <c r="F344" i="9"/>
  <c r="F343" i="9"/>
  <c r="F342" i="9"/>
  <c r="M341" i="9"/>
  <c r="L341" i="9"/>
  <c r="F341" i="9"/>
  <c r="E341" i="9"/>
  <c r="B341" i="9"/>
  <c r="H340" i="9"/>
  <c r="G340" i="9"/>
  <c r="F340" i="9"/>
  <c r="E340" i="9"/>
  <c r="B340" i="9"/>
  <c r="F339" i="9"/>
  <c r="F338" i="9"/>
  <c r="F337" i="9"/>
  <c r="F336" i="9"/>
  <c r="H335" i="9"/>
  <c r="G335" i="9"/>
  <c r="F335" i="9"/>
  <c r="E335" i="9"/>
  <c r="B335" i="9"/>
  <c r="F334" i="9"/>
  <c r="H333" i="9"/>
  <c r="G333" i="9"/>
  <c r="F333" i="9"/>
  <c r="E333" i="9"/>
  <c r="B333" i="9"/>
  <c r="H332" i="9"/>
  <c r="G332" i="9"/>
  <c r="F332" i="9"/>
  <c r="E332" i="9"/>
  <c r="B332" i="9"/>
  <c r="H331" i="9"/>
  <c r="G331" i="9"/>
  <c r="F331" i="9"/>
  <c r="E331" i="9"/>
  <c r="B331" i="9"/>
  <c r="H330" i="9"/>
  <c r="G330" i="9"/>
  <c r="F330" i="9"/>
  <c r="E330" i="9"/>
  <c r="B330" i="9"/>
  <c r="H329" i="9"/>
  <c r="G329" i="9"/>
  <c r="F329" i="9"/>
  <c r="E329" i="9"/>
  <c r="B329" i="9"/>
  <c r="H328" i="9"/>
  <c r="G328" i="9"/>
  <c r="F328" i="9"/>
  <c r="E328" i="9"/>
  <c r="B328" i="9"/>
  <c r="H327" i="9"/>
  <c r="G327" i="9"/>
  <c r="F327" i="9"/>
  <c r="E327" i="9"/>
  <c r="B327" i="9"/>
  <c r="H326" i="9"/>
  <c r="G326" i="9"/>
  <c r="F326" i="9"/>
  <c r="E326" i="9"/>
  <c r="B326" i="9"/>
  <c r="H325" i="9"/>
  <c r="G325" i="9"/>
  <c r="F325" i="9"/>
  <c r="E325" i="9"/>
  <c r="B325" i="9"/>
  <c r="H324" i="9"/>
  <c r="G324" i="9"/>
  <c r="F324" i="9"/>
  <c r="E324" i="9"/>
  <c r="B324" i="9"/>
  <c r="H323" i="9"/>
  <c r="G323" i="9"/>
  <c r="F323" i="9"/>
  <c r="E323" i="9"/>
  <c r="B323" i="9"/>
  <c r="H322" i="9"/>
  <c r="G322" i="9"/>
  <c r="F322" i="9"/>
  <c r="E322" i="9"/>
  <c r="B322" i="9"/>
  <c r="H321" i="9"/>
  <c r="G321" i="9"/>
  <c r="F321" i="9"/>
  <c r="E321" i="9"/>
  <c r="B321" i="9"/>
  <c r="H320" i="9"/>
  <c r="G320" i="9"/>
  <c r="F320" i="9"/>
  <c r="E320" i="9"/>
  <c r="B320" i="9"/>
  <c r="H319" i="9"/>
  <c r="G319" i="9"/>
  <c r="F319" i="9"/>
  <c r="E319" i="9"/>
  <c r="B319" i="9"/>
  <c r="H318" i="9"/>
  <c r="G318" i="9"/>
  <c r="F318" i="9"/>
  <c r="E318" i="9"/>
  <c r="B318" i="9"/>
  <c r="H317" i="9"/>
  <c r="G317" i="9"/>
  <c r="F317" i="9"/>
  <c r="E317" i="9"/>
  <c r="B317" i="9"/>
  <c r="F316" i="9"/>
  <c r="F315" i="9"/>
  <c r="F314" i="9"/>
  <c r="H313" i="9"/>
  <c r="G313" i="9"/>
  <c r="F313" i="9"/>
  <c r="E313" i="9"/>
  <c r="B313" i="9"/>
  <c r="H312" i="9"/>
  <c r="G312" i="9"/>
  <c r="F312" i="9"/>
  <c r="E312" i="9"/>
  <c r="B312" i="9"/>
  <c r="H311" i="9"/>
  <c r="G311" i="9"/>
  <c r="F311" i="9"/>
  <c r="E311" i="9"/>
  <c r="B311" i="9"/>
  <c r="F310" i="9"/>
  <c r="F309" i="9"/>
  <c r="F308" i="9"/>
  <c r="H307" i="9"/>
  <c r="G307" i="9"/>
  <c r="F307" i="9"/>
  <c r="E307" i="9"/>
  <c r="B307" i="9"/>
  <c r="F306" i="9"/>
  <c r="H305" i="9"/>
  <c r="G305" i="9"/>
  <c r="F305" i="9"/>
  <c r="E305" i="9"/>
  <c r="B305" i="9"/>
  <c r="H304" i="9"/>
  <c r="G304" i="9"/>
  <c r="F304" i="9"/>
  <c r="E304" i="9"/>
  <c r="B304" i="9"/>
  <c r="H303" i="9"/>
  <c r="G303" i="9"/>
  <c r="F303" i="9"/>
  <c r="E303" i="9"/>
  <c r="B303" i="9"/>
  <c r="F302" i="9"/>
  <c r="F301" i="9"/>
  <c r="F300" i="9"/>
  <c r="F299" i="9"/>
  <c r="F298"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c r="E236" i="9"/>
  <c r="B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E37" i="9"/>
  <c r="B37" i="9"/>
  <c r="H36" i="9"/>
  <c r="G36" i="9"/>
  <c r="F36" i="9"/>
  <c r="E36" i="9"/>
  <c r="B36" i="9"/>
  <c r="H35" i="9"/>
  <c r="G35" i="9"/>
  <c r="F35" i="9"/>
  <c r="E35" i="9"/>
  <c r="B35" i="9"/>
  <c r="H34" i="9"/>
  <c r="G34" i="9"/>
  <c r="F34" i="9"/>
  <c r="E34" i="9"/>
  <c r="B34" i="9"/>
  <c r="H33" i="9"/>
  <c r="G33" i="9"/>
  <c r="F33" i="9"/>
  <c r="E33" i="9"/>
  <c r="B33" i="9"/>
  <c r="H32" i="9"/>
  <c r="G32" i="9"/>
  <c r="F32" i="9"/>
  <c r="E32" i="9"/>
  <c r="B32" i="9"/>
  <c r="H31" i="9"/>
  <c r="G31" i="9"/>
  <c r="F31" i="9"/>
  <c r="E31" i="9"/>
  <c r="B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G296" i="9" s="1"/>
  <c r="E296" i="9" s="1"/>
  <c r="B296" i="9" s="1"/>
  <c r="I3" i="9"/>
  <c r="H3" i="9"/>
  <c r="G3" i="9"/>
  <c r="D104" i="8"/>
  <c r="D97" i="8"/>
  <c r="D92" i="8"/>
  <c r="D87" i="8"/>
  <c r="D82" i="8"/>
  <c r="D77" i="8"/>
  <c r="D72" i="8"/>
  <c r="D67" i="8"/>
  <c r="D62" i="8"/>
  <c r="D57" i="8"/>
  <c r="D52" i="8"/>
  <c r="D51" i="8"/>
  <c r="D46" i="8"/>
  <c r="D45" i="8"/>
  <c r="D37" i="8"/>
  <c r="D27" i="8"/>
  <c r="D25" i="8"/>
  <c r="D18" i="8"/>
  <c r="D8" i="8"/>
  <c r="D6" i="8"/>
  <c r="E44" i="7"/>
  <c r="D44" i="7"/>
  <c r="E39" i="7"/>
  <c r="D39" i="7"/>
  <c r="E38" i="7"/>
  <c r="D38" i="7"/>
  <c r="E30" i="7"/>
  <c r="D30" i="7"/>
  <c r="E23" i="7"/>
  <c r="D23" i="7"/>
  <c r="E22" i="7"/>
  <c r="D22" i="7"/>
  <c r="E14" i="7"/>
  <c r="D14" i="7"/>
  <c r="E7" i="7"/>
  <c r="D7" i="7"/>
  <c r="E6" i="7"/>
  <c r="D6" i="7"/>
  <c r="E5" i="7"/>
  <c r="D5" i="7"/>
  <c r="G346" i="9" s="1"/>
  <c r="E346" i="9" s="1"/>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8" i="6" s="1"/>
  <c r="F117" i="6"/>
  <c r="F116" i="6"/>
  <c r="E115" i="6"/>
  <c r="D115" i="6"/>
  <c r="F115" i="6" s="1"/>
  <c r="E114" i="6"/>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D296" i="5"/>
  <c r="F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D260" i="5"/>
  <c r="F260" i="5" s="1"/>
  <c r="F259" i="5"/>
  <c r="F258" i="5"/>
  <c r="F257" i="5"/>
  <c r="E256" i="5"/>
  <c r="D256" i="5"/>
  <c r="F256" i="5" s="1"/>
  <c r="E255" i="5"/>
  <c r="D255" i="5"/>
  <c r="F255" i="5" s="1"/>
  <c r="F254" i="5"/>
  <c r="F253" i="5"/>
  <c r="E252" i="5"/>
  <c r="D252" i="5"/>
  <c r="F252" i="5" s="1"/>
  <c r="E251" i="5"/>
  <c r="D251" i="5"/>
  <c r="F251"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E178" i="5"/>
  <c r="H336" i="9" s="1"/>
  <c r="D178" i="5"/>
  <c r="E177" i="5"/>
  <c r="D177" i="5"/>
  <c r="F177" i="5" s="1"/>
  <c r="E176" i="5"/>
  <c r="D176" i="5"/>
  <c r="F176"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H299" i="9"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D431" i="4"/>
  <c r="F431" i="4" s="1"/>
  <c r="E430" i="4"/>
  <c r="E639" i="4" s="1"/>
  <c r="D430" i="4"/>
  <c r="E428" i="4"/>
  <c r="D428" i="4"/>
  <c r="F428" i="4" s="1"/>
  <c r="E427" i="4"/>
  <c r="D427" i="4"/>
  <c r="E426" i="4"/>
  <c r="E64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5" i="4"/>
  <c r="F225" i="4" s="1"/>
  <c r="F224" i="4"/>
  <c r="F223" i="4"/>
  <c r="E222" i="4"/>
  <c r="D222" i="4"/>
  <c r="F222" i="4" s="1"/>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5" i="4" s="1"/>
  <c r="E164" i="4"/>
  <c r="D164" i="4"/>
  <c r="F164" i="4" s="1"/>
  <c r="F163" i="4"/>
  <c r="F162" i="4"/>
  <c r="F161" i="4"/>
  <c r="E160" i="4"/>
  <c r="D160" i="4"/>
  <c r="F160" i="4" s="1"/>
  <c r="F159" i="4"/>
  <c r="F158" i="4"/>
  <c r="F157" i="4"/>
  <c r="F156" i="4"/>
  <c r="F155" i="4"/>
  <c r="E154" i="4"/>
  <c r="D154" i="4"/>
  <c r="F154" i="4" s="1"/>
  <c r="E153" i="4"/>
  <c r="D153" i="4"/>
  <c r="E152" i="4"/>
  <c r="E299" i="4" s="1"/>
  <c r="D152" i="4"/>
  <c r="F151" i="4"/>
  <c r="F150" i="4"/>
  <c r="F149" i="4"/>
  <c r="F148" i="4"/>
  <c r="F147" i="4"/>
  <c r="F146" i="4"/>
  <c r="F145" i="4"/>
  <c r="F144" i="4"/>
  <c r="F143" i="4"/>
  <c r="F142" i="4"/>
  <c r="E141" i="4"/>
  <c r="D141" i="4"/>
  <c r="F141" i="4" s="1"/>
  <c r="E140" i="4"/>
  <c r="D140" i="4"/>
  <c r="F140" i="4" s="1"/>
  <c r="F139" i="4"/>
  <c r="F138" i="4"/>
  <c r="F137" i="4"/>
  <c r="F136" i="4"/>
  <c r="E135" i="4"/>
  <c r="D135" i="4"/>
  <c r="F135" i="4" s="1"/>
  <c r="E134" i="4"/>
  <c r="D134" i="4"/>
  <c r="F134" i="4" s="1"/>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I41" i="3"/>
  <c r="G41" i="3"/>
  <c r="B41" i="3"/>
  <c r="I40" i="3"/>
  <c r="G40" i="3"/>
  <c r="B40" i="3"/>
  <c r="G39" i="3"/>
  <c r="B39" i="3"/>
  <c r="H38" i="3"/>
  <c r="G38" i="3"/>
  <c r="B38" i="3"/>
  <c r="I36" i="3"/>
  <c r="H36" i="3"/>
  <c r="G36" i="3"/>
  <c r="B36" i="3"/>
  <c r="I35" i="3"/>
  <c r="H35" i="3"/>
  <c r="G35" i="3"/>
  <c r="B35" i="3"/>
  <c r="I34" i="3"/>
  <c r="H34" i="3"/>
  <c r="G34" i="3"/>
  <c r="B34" i="3"/>
  <c r="I33" i="3"/>
  <c r="H33" i="3"/>
  <c r="G33" i="3"/>
  <c r="B33" i="3"/>
  <c r="I31" i="3"/>
  <c r="G31" i="3"/>
  <c r="B31" i="3"/>
  <c r="I30" i="3"/>
  <c r="H30" i="3"/>
  <c r="G30" i="3"/>
  <c r="B30" i="3"/>
  <c r="I29" i="3"/>
  <c r="H29" i="3"/>
  <c r="G29" i="3"/>
  <c r="B29" i="3"/>
  <c r="I28" i="3"/>
  <c r="H28" i="3"/>
  <c r="G28" i="3"/>
  <c r="B28" i="3"/>
  <c r="I27" i="3"/>
  <c r="H27" i="3"/>
  <c r="G27" i="3"/>
  <c r="B27" i="3"/>
  <c r="I25" i="3"/>
  <c r="H25" i="3"/>
  <c r="G25" i="3"/>
  <c r="B25" i="3"/>
  <c r="I24" i="3"/>
  <c r="H24" i="3"/>
  <c r="G24" i="3"/>
  <c r="B24" i="3"/>
  <c r="I23" i="3"/>
  <c r="H23" i="3"/>
  <c r="G23" i="3"/>
  <c r="B23" i="3"/>
  <c r="I22" i="3"/>
  <c r="H22" i="3"/>
  <c r="G22" i="3"/>
  <c r="B22" i="3"/>
  <c r="G20" i="3"/>
  <c r="B20" i="3"/>
  <c r="G19" i="3"/>
  <c r="B19" i="3"/>
  <c r="I18" i="3"/>
  <c r="H18" i="3"/>
  <c r="G18" i="3"/>
  <c r="B18" i="3"/>
  <c r="I17" i="3"/>
  <c r="H17" i="3"/>
  <c r="G17" i="3"/>
  <c r="B17" i="3"/>
  <c r="H10" i="3" a="1"/>
  <c r="H10" i="3"/>
  <c r="L3" i="9" s="1"/>
  <c r="C1686" i="1"/>
  <c r="C1685" i="1"/>
  <c r="C1684" i="1"/>
  <c r="C1683" i="1"/>
  <c r="C1682" i="1"/>
  <c r="C1681" i="1"/>
  <c r="C1680" i="1"/>
  <c r="C1679" i="1"/>
  <c r="C1678" i="1"/>
  <c r="C1677" i="1"/>
  <c r="C1676" i="1"/>
  <c r="C1675" i="1"/>
  <c r="C1674" i="1"/>
  <c r="C1673" i="1"/>
  <c r="C1672" i="1"/>
  <c r="C1671" i="1"/>
  <c r="C1670" i="1"/>
  <c r="C1669" i="1"/>
  <c r="C1668" i="1"/>
  <c r="C1667" i="1"/>
  <c r="C1666" i="1"/>
  <c r="C1665" i="1"/>
  <c r="C1664" i="1"/>
  <c r="C1663" i="1"/>
  <c r="C1662" i="1"/>
  <c r="C1661" i="1"/>
  <c r="C1660" i="1"/>
  <c r="C1659" i="1"/>
  <c r="C1658" i="1"/>
  <c r="C1657" i="1"/>
  <c r="C1656" i="1"/>
  <c r="C1655" i="1"/>
  <c r="C1654" i="1"/>
  <c r="C1653" i="1"/>
  <c r="C1652" i="1"/>
  <c r="C1651" i="1"/>
  <c r="C1650" i="1"/>
  <c r="C1649" i="1"/>
  <c r="C1648"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0" i="1"/>
  <c r="C1619" i="1"/>
  <c r="C1618" i="1"/>
  <c r="C1617" i="1"/>
  <c r="C1616" i="1"/>
  <c r="C1615" i="1"/>
  <c r="C1614" i="1"/>
  <c r="C1613" i="1"/>
  <c r="C1612" i="1"/>
  <c r="C1611" i="1"/>
  <c r="C1610" i="1"/>
  <c r="C1609" i="1"/>
  <c r="C1608" i="1"/>
  <c r="C1607" i="1"/>
  <c r="C1606" i="1"/>
  <c r="C1605" i="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D1581" i="1"/>
  <c r="C1581" i="1"/>
  <c r="D1580" i="1"/>
  <c r="C1580" i="1"/>
  <c r="D1579" i="1"/>
  <c r="C1579" i="1"/>
  <c r="D1578" i="1"/>
  <c r="C1578" i="1"/>
  <c r="D1577" i="1"/>
  <c r="C1577" i="1"/>
  <c r="D1576" i="1"/>
  <c r="C1576" i="1"/>
  <c r="D1575" i="1"/>
  <c r="C1575" i="1"/>
  <c r="D1574" i="1"/>
  <c r="C1574" i="1"/>
  <c r="D1573" i="1"/>
  <c r="C1573" i="1"/>
  <c r="D1572" i="1"/>
  <c r="C1572" i="1"/>
  <c r="D1571" i="1"/>
  <c r="C1571" i="1"/>
  <c r="D1570" i="1"/>
  <c r="C1570" i="1"/>
  <c r="D1569" i="1"/>
  <c r="C1569" i="1"/>
  <c r="D1568" i="1"/>
  <c r="C1568" i="1"/>
  <c r="D1567" i="1"/>
  <c r="C1567" i="1"/>
  <c r="D1566" i="1"/>
  <c r="C1566" i="1"/>
  <c r="D1565" i="1"/>
  <c r="C1565" i="1"/>
  <c r="D1564" i="1"/>
  <c r="C1564" i="1"/>
  <c r="D1563" i="1"/>
  <c r="C1563" i="1"/>
  <c r="D1562" i="1"/>
  <c r="C1562" i="1"/>
  <c r="D1561" i="1"/>
  <c r="C1561" i="1"/>
  <c r="D1560" i="1"/>
  <c r="C1560" i="1"/>
  <c r="D1559" i="1"/>
  <c r="C1559" i="1"/>
  <c r="D1558" i="1"/>
  <c r="C1558" i="1"/>
  <c r="D1557" i="1"/>
  <c r="C1557" i="1"/>
  <c r="D1556" i="1"/>
  <c r="C1556" i="1"/>
  <c r="D1555" i="1"/>
  <c r="C1555" i="1"/>
  <c r="D1554" i="1"/>
  <c r="C1554" i="1"/>
  <c r="D1553" i="1"/>
  <c r="C1553" i="1"/>
  <c r="D1552" i="1"/>
  <c r="C1552" i="1"/>
  <c r="D1551" i="1"/>
  <c r="C1551" i="1"/>
  <c r="D1550" i="1"/>
  <c r="C1550" i="1"/>
  <c r="D1549" i="1"/>
  <c r="C1549" i="1"/>
  <c r="D1548" i="1"/>
  <c r="C1548" i="1"/>
  <c r="D1547" i="1"/>
  <c r="C1547" i="1"/>
  <c r="D1546" i="1"/>
  <c r="C1546" i="1"/>
  <c r="D1545" i="1"/>
  <c r="C1545" i="1"/>
  <c r="D1544" i="1"/>
  <c r="C1544" i="1"/>
  <c r="D1543" i="1"/>
  <c r="C1543" i="1"/>
  <c r="D1542" i="1"/>
  <c r="C1542" i="1"/>
  <c r="D1541" i="1"/>
  <c r="C1541" i="1"/>
  <c r="D1540" i="1"/>
  <c r="C1540" i="1"/>
  <c r="D1539" i="1"/>
  <c r="C1539" i="1"/>
  <c r="D1538" i="1"/>
  <c r="C1538" i="1"/>
  <c r="D1537" i="1"/>
  <c r="D1536" i="1"/>
  <c r="C1536" i="1"/>
  <c r="D1535" i="1"/>
  <c r="C1535" i="1"/>
  <c r="D1534" i="1"/>
  <c r="C1534" i="1"/>
  <c r="D1533" i="1"/>
  <c r="C1533" i="1"/>
  <c r="D1532" i="1"/>
  <c r="C1532" i="1"/>
  <c r="D1531" i="1"/>
  <c r="C1531" i="1"/>
  <c r="D1530" i="1"/>
  <c r="C1530" i="1"/>
  <c r="D1529" i="1"/>
  <c r="C1529" i="1"/>
  <c r="D1528" i="1"/>
  <c r="C1528" i="1"/>
  <c r="D1527" i="1"/>
  <c r="C1527" i="1"/>
  <c r="D1526" i="1"/>
  <c r="C1526" i="1"/>
  <c r="D1525" i="1"/>
  <c r="C1525" i="1"/>
  <c r="D1524" i="1"/>
  <c r="C1524" i="1"/>
  <c r="D1523" i="1"/>
  <c r="C1523" i="1"/>
  <c r="D1522" i="1"/>
  <c r="C1522" i="1"/>
  <c r="D1521" i="1"/>
  <c r="C1521" i="1"/>
  <c r="D1520" i="1"/>
  <c r="C1520" i="1"/>
  <c r="D1519" i="1"/>
  <c r="C1519" i="1"/>
  <c r="D1518" i="1"/>
  <c r="C1518" i="1"/>
  <c r="D1517" i="1"/>
  <c r="C1517" i="1"/>
  <c r="D1516" i="1"/>
  <c r="C1516" i="1"/>
  <c r="D1515" i="1"/>
  <c r="C1515" i="1"/>
  <c r="D1514" i="1"/>
  <c r="C1514" i="1"/>
  <c r="D1513" i="1"/>
  <c r="C1513" i="1"/>
  <c r="D1512" i="1"/>
  <c r="C1512" i="1"/>
  <c r="D1511" i="1"/>
  <c r="C1511" i="1"/>
  <c r="D1510" i="1"/>
  <c r="C1510" i="1"/>
  <c r="D1509" i="1"/>
  <c r="C1509" i="1"/>
  <c r="D1508" i="1"/>
  <c r="C1508" i="1"/>
  <c r="D1507" i="1"/>
  <c r="C1507" i="1"/>
  <c r="D1506" i="1"/>
  <c r="C1506" i="1"/>
  <c r="D1505" i="1"/>
  <c r="C1505" i="1"/>
  <c r="D1504" i="1"/>
  <c r="C1504" i="1"/>
  <c r="D1503" i="1"/>
  <c r="C1503" i="1"/>
  <c r="D1502" i="1"/>
  <c r="C1502" i="1"/>
  <c r="D1501" i="1"/>
  <c r="C1501" i="1"/>
  <c r="D1500" i="1"/>
  <c r="C1500" i="1"/>
  <c r="D1499" i="1"/>
  <c r="C1499" i="1"/>
  <c r="D1498" i="1"/>
  <c r="C1498" i="1"/>
  <c r="D1497" i="1"/>
  <c r="C1497" i="1"/>
  <c r="D1496" i="1"/>
  <c r="C1496" i="1"/>
  <c r="D1495" i="1"/>
  <c r="C1495" i="1"/>
  <c r="D1494" i="1"/>
  <c r="C1494" i="1"/>
  <c r="D1493" i="1"/>
  <c r="C1493" i="1"/>
  <c r="D1492" i="1"/>
  <c r="C1492" i="1"/>
  <c r="D1491" i="1"/>
  <c r="C1491" i="1"/>
  <c r="D1490" i="1"/>
  <c r="C1490" i="1"/>
  <c r="D1489" i="1"/>
  <c r="C1489" i="1"/>
  <c r="D1488" i="1"/>
  <c r="C1488" i="1"/>
  <c r="D1487" i="1"/>
  <c r="C1487" i="1"/>
  <c r="D1486" i="1"/>
  <c r="C1486" i="1"/>
  <c r="D1485" i="1"/>
  <c r="C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1" i="1"/>
  <c r="D636" i="1"/>
  <c r="C636" i="1"/>
  <c r="D635" i="1"/>
  <c r="C635" i="1"/>
  <c r="D633"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5"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H2" i="1" l="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5" i="1"/>
  <c r="G285" i="1"/>
  <c r="H286" i="1"/>
  <c r="G286" i="1"/>
  <c r="H287" i="1"/>
  <c r="G287" i="1"/>
  <c r="H288" i="1"/>
  <c r="G288" i="1"/>
  <c r="H289" i="1"/>
  <c r="G289" i="1"/>
  <c r="H290" i="1"/>
  <c r="G290" i="1"/>
  <c r="H291" i="1"/>
  <c r="G291" i="1"/>
  <c r="H292" i="1"/>
  <c r="G292" i="1"/>
  <c r="H293" i="1"/>
  <c r="G293" i="1"/>
  <c r="H294" i="1"/>
  <c r="G294"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2" i="1"/>
  <c r="G402" i="1"/>
  <c r="H403" i="1"/>
  <c r="G403" i="1"/>
  <c r="H404" i="1"/>
  <c r="G404" i="1"/>
  <c r="H405" i="1"/>
  <c r="G405" i="1"/>
  <c r="H406" i="1"/>
  <c r="G406" i="1"/>
  <c r="H407" i="1"/>
  <c r="G407" i="1"/>
  <c r="H408" i="1"/>
  <c r="G408" i="1"/>
  <c r="H409" i="1"/>
  <c r="G409" i="1"/>
  <c r="H410" i="1"/>
  <c r="G410" i="1"/>
  <c r="H411" i="1"/>
  <c r="G411" i="1"/>
  <c r="H414" i="1"/>
  <c r="G414" i="1"/>
  <c r="H415" i="1"/>
  <c r="G415" i="1"/>
  <c r="H416" i="1"/>
  <c r="G416"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29" i="1"/>
  <c r="G629" i="1"/>
  <c r="H630" i="1"/>
  <c r="G630" i="1"/>
  <c r="H631" i="1"/>
  <c r="G631" i="1"/>
  <c r="H632" i="1"/>
  <c r="G632" i="1"/>
  <c r="H635" i="1"/>
  <c r="G635" i="1"/>
  <c r="H636" i="1"/>
  <c r="G636"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8" i="3"/>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2" i="1"/>
  <c r="G1152"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4" i="1"/>
  <c r="G1214"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5" i="1"/>
  <c r="G1435" i="1"/>
  <c r="H1436" i="1"/>
  <c r="G1436" i="1"/>
  <c r="H1437" i="1"/>
  <c r="G1437" i="1"/>
  <c r="H1438" i="1"/>
  <c r="G1438" i="1"/>
  <c r="H1439" i="1"/>
  <c r="G1439" i="1"/>
  <c r="H1440" i="1"/>
  <c r="G1440" i="1"/>
  <c r="H1441" i="1"/>
  <c r="G1441" i="1"/>
  <c r="H1442" i="1"/>
  <c r="G1442" i="1"/>
  <c r="H1443" i="1"/>
  <c r="G1443" i="1"/>
  <c r="H1444" i="1"/>
  <c r="G1444" i="1"/>
  <c r="H1445" i="1"/>
  <c r="G1445" i="1"/>
  <c r="H1446" i="1"/>
  <c r="G1446" i="1"/>
  <c r="H1447" i="1"/>
  <c r="G1447" i="1"/>
  <c r="H1448" i="1"/>
  <c r="G1448" i="1"/>
  <c r="H1449" i="1"/>
  <c r="G1449" i="1"/>
  <c r="H1450" i="1"/>
  <c r="G1450" i="1"/>
  <c r="H1451" i="1"/>
  <c r="G1451" i="1"/>
  <c r="H1452" i="1"/>
  <c r="G1452" i="1"/>
  <c r="H1453" i="1"/>
  <c r="G1453" i="1"/>
  <c r="H1454" i="1"/>
  <c r="G1454" i="1"/>
  <c r="H1455" i="1"/>
  <c r="G1455" i="1"/>
  <c r="H1456" i="1"/>
  <c r="G1456" i="1"/>
  <c r="H1457" i="1"/>
  <c r="G1457" i="1"/>
  <c r="H1458" i="1"/>
  <c r="G1458" i="1"/>
  <c r="H1459" i="1"/>
  <c r="G1459" i="1"/>
  <c r="H1460" i="1"/>
  <c r="G1460" i="1"/>
  <c r="H1461" i="1"/>
  <c r="G1461" i="1"/>
  <c r="H1462" i="1"/>
  <c r="G1462" i="1"/>
  <c r="H1463" i="1"/>
  <c r="G1463" i="1"/>
  <c r="H1464" i="1"/>
  <c r="G1464" i="1"/>
  <c r="H1465" i="1"/>
  <c r="G1465" i="1"/>
  <c r="H1466" i="1"/>
  <c r="G1466" i="1"/>
  <c r="H1467" i="1"/>
  <c r="G1467" i="1"/>
  <c r="H1468" i="1"/>
  <c r="G1468" i="1"/>
  <c r="H1469" i="1"/>
  <c r="G1469" i="1"/>
  <c r="H1470" i="1"/>
  <c r="G1470" i="1"/>
  <c r="H1471" i="1"/>
  <c r="G1471" i="1"/>
  <c r="H1472" i="1"/>
  <c r="G1472" i="1"/>
  <c r="H1473" i="1"/>
  <c r="G1473" i="1"/>
  <c r="H1474" i="1"/>
  <c r="G1474" i="1"/>
  <c r="H1475" i="1"/>
  <c r="G1475" i="1"/>
  <c r="H1476" i="1"/>
  <c r="G1476" i="1"/>
  <c r="H1477" i="1"/>
  <c r="G1477" i="1"/>
  <c r="H1478" i="1"/>
  <c r="G1478" i="1"/>
  <c r="H1479" i="1"/>
  <c r="G1479" i="1"/>
  <c r="H1480" i="1"/>
  <c r="G1480" i="1"/>
  <c r="H1481" i="1"/>
  <c r="G1481" i="1"/>
  <c r="H1482" i="1"/>
  <c r="G1482" i="1"/>
  <c r="H1483" i="1"/>
  <c r="G1483"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499" i="1"/>
  <c r="G1499"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7" i="1"/>
  <c r="G1517" i="1"/>
  <c r="H1518" i="1"/>
  <c r="G1518" i="1"/>
  <c r="H1519" i="1"/>
  <c r="G1519" i="1"/>
  <c r="H1520" i="1"/>
  <c r="G1520" i="1"/>
  <c r="H1521" i="1"/>
  <c r="G1521" i="1"/>
  <c r="H1522" i="1"/>
  <c r="G1522" i="1"/>
  <c r="H1523" i="1"/>
  <c r="G1523" i="1"/>
  <c r="H1524" i="1"/>
  <c r="G1524"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8" i="1"/>
  <c r="G1538" i="1"/>
  <c r="H1539" i="1"/>
  <c r="G1539" i="1"/>
  <c r="H1540" i="1"/>
  <c r="G1540" i="1"/>
  <c r="J1541" i="1"/>
  <c r="H1541" i="1"/>
  <c r="G1541" i="1"/>
  <c r="I1541" i="1" s="1"/>
  <c r="J1542" i="1"/>
  <c r="H1542" i="1"/>
  <c r="G1542" i="1"/>
  <c r="I1542" i="1" s="1"/>
  <c r="J1543" i="1"/>
  <c r="H1543" i="1"/>
  <c r="G1543" i="1"/>
  <c r="I1543" i="1" s="1"/>
  <c r="J1544" i="1"/>
  <c r="H1544" i="1"/>
  <c r="G1544" i="1"/>
  <c r="I1544" i="1" s="1"/>
  <c r="J1545" i="1"/>
  <c r="H1545" i="1"/>
  <c r="G1545" i="1"/>
  <c r="I1545" i="1" s="1"/>
  <c r="J1546" i="1"/>
  <c r="H1546" i="1"/>
  <c r="G1546" i="1"/>
  <c r="I1546" i="1" s="1"/>
  <c r="J1547" i="1"/>
  <c r="H1547" i="1"/>
  <c r="G1547" i="1"/>
  <c r="J1548" i="1"/>
  <c r="H1548" i="1"/>
  <c r="G1548" i="1"/>
  <c r="I1548" i="1" s="1"/>
  <c r="J1549" i="1"/>
  <c r="H1549" i="1"/>
  <c r="G1549" i="1"/>
  <c r="I1549" i="1" s="1"/>
  <c r="J1550" i="1"/>
  <c r="H1550" i="1"/>
  <c r="G1550" i="1"/>
  <c r="I1550" i="1" s="1"/>
  <c r="J1551" i="1"/>
  <c r="H1551" i="1"/>
  <c r="G1551" i="1"/>
  <c r="I1551" i="1" s="1"/>
  <c r="J1552" i="1"/>
  <c r="H1552" i="1"/>
  <c r="G1552" i="1"/>
  <c r="I1552" i="1" s="1"/>
  <c r="J1553" i="1"/>
  <c r="H1553" i="1"/>
  <c r="G1553" i="1"/>
  <c r="I1553" i="1" s="1"/>
  <c r="J1554" i="1"/>
  <c r="H1554" i="1"/>
  <c r="G1554" i="1"/>
  <c r="I1554" i="1" s="1"/>
  <c r="H1555" i="1"/>
  <c r="G1555" i="1"/>
  <c r="H1556" i="1"/>
  <c r="G1556" i="1"/>
  <c r="J1557" i="1"/>
  <c r="H1557" i="1"/>
  <c r="G1557" i="1"/>
  <c r="I1557" i="1" s="1"/>
  <c r="J1558" i="1"/>
  <c r="H1558" i="1"/>
  <c r="G1558" i="1"/>
  <c r="I1558" i="1" s="1"/>
  <c r="J1559" i="1"/>
  <c r="H1559" i="1"/>
  <c r="G1559" i="1"/>
  <c r="I1559" i="1" s="1"/>
  <c r="J1560" i="1"/>
  <c r="H1560" i="1"/>
  <c r="G1560" i="1"/>
  <c r="I1560" i="1" s="1"/>
  <c r="J1561" i="1"/>
  <c r="H1561" i="1"/>
  <c r="G1561" i="1"/>
  <c r="I1561" i="1" s="1"/>
  <c r="J1562" i="1"/>
  <c r="H1562" i="1"/>
  <c r="G1562" i="1"/>
  <c r="I1562" i="1" s="1"/>
  <c r="H1563" i="1"/>
  <c r="G1563" i="1"/>
  <c r="J1564" i="1"/>
  <c r="H1564" i="1"/>
  <c r="G1564" i="1"/>
  <c r="I1564" i="1" s="1"/>
  <c r="J1565" i="1"/>
  <c r="H1565" i="1"/>
  <c r="G1565" i="1"/>
  <c r="I1565" i="1" s="1"/>
  <c r="J1566" i="1"/>
  <c r="H1566" i="1"/>
  <c r="G1566" i="1"/>
  <c r="I1566" i="1" s="1"/>
  <c r="J1567" i="1"/>
  <c r="H1567" i="1"/>
  <c r="G1567" i="1"/>
  <c r="I1567" i="1" s="1"/>
  <c r="J1568" i="1"/>
  <c r="H1568" i="1"/>
  <c r="G1568" i="1"/>
  <c r="I1568" i="1" s="1"/>
  <c r="J1569" i="1"/>
  <c r="H1569" i="1"/>
  <c r="G1569" i="1"/>
  <c r="I1569" i="1" s="1"/>
  <c r="J1570" i="1"/>
  <c r="H1570" i="1"/>
  <c r="G1570" i="1"/>
  <c r="I1570" i="1" s="1"/>
  <c r="H1571" i="1"/>
  <c r="G1571" i="1"/>
  <c r="H1572" i="1"/>
  <c r="G1572" i="1"/>
  <c r="J1573" i="1"/>
  <c r="H1573" i="1"/>
  <c r="G1573" i="1"/>
  <c r="I1573" i="1" s="1"/>
  <c r="J1574" i="1"/>
  <c r="H1574" i="1"/>
  <c r="G1574" i="1"/>
  <c r="I1574" i="1" s="1"/>
  <c r="J1575" i="1"/>
  <c r="H1575" i="1"/>
  <c r="G1575" i="1"/>
  <c r="I1575" i="1" s="1"/>
  <c r="J1576" i="1"/>
  <c r="H1576" i="1"/>
  <c r="G1576" i="1"/>
  <c r="I1576" i="1" s="1"/>
  <c r="H1577" i="1"/>
  <c r="G1577" i="1"/>
  <c r="J1578" i="1"/>
  <c r="H1578" i="1"/>
  <c r="G1578" i="1"/>
  <c r="I1578" i="1" s="1"/>
  <c r="J1579" i="1"/>
  <c r="H1579" i="1"/>
  <c r="G1579" i="1"/>
  <c r="I1579" i="1" s="1"/>
  <c r="J1580" i="1"/>
  <c r="H1580" i="1"/>
  <c r="G1580" i="1"/>
  <c r="I1580" i="1" s="1"/>
  <c r="J1581" i="1"/>
  <c r="H1581" i="1"/>
  <c r="G1581" i="1"/>
  <c r="I1581" i="1" s="1"/>
  <c r="H1582" i="1"/>
  <c r="G1582" i="1"/>
  <c r="H1583" i="1"/>
  <c r="G1583" i="1"/>
  <c r="H1584" i="1"/>
  <c r="G1584" i="1"/>
  <c r="H1585" i="1"/>
  <c r="G1585" i="1"/>
  <c r="H1586" i="1"/>
  <c r="G1586" i="1"/>
  <c r="H1587" i="1"/>
  <c r="G1587" i="1"/>
  <c r="H1588" i="1"/>
  <c r="G1588" i="1"/>
  <c r="H1589" i="1"/>
  <c r="G1589" i="1"/>
  <c r="H1590" i="1"/>
  <c r="G1590" i="1"/>
  <c r="H1591" i="1"/>
  <c r="G1591" i="1"/>
  <c r="H1592" i="1"/>
  <c r="G1592" i="1"/>
  <c r="H1593" i="1"/>
  <c r="G1593" i="1"/>
  <c r="H1594" i="1"/>
  <c r="G1594" i="1"/>
  <c r="H1595" i="1"/>
  <c r="G1595" i="1"/>
  <c r="H1596" i="1"/>
  <c r="G1596" i="1"/>
  <c r="H1597" i="1"/>
  <c r="G1597" i="1"/>
  <c r="H1598" i="1"/>
  <c r="G1598" i="1"/>
  <c r="H1599" i="1"/>
  <c r="G1599" i="1"/>
  <c r="H1600" i="1"/>
  <c r="G1600" i="1"/>
  <c r="H1601" i="1"/>
  <c r="G1601" i="1"/>
  <c r="H1602" i="1"/>
  <c r="G1602" i="1"/>
  <c r="H1603" i="1"/>
  <c r="G1603" i="1"/>
  <c r="H1604" i="1"/>
  <c r="G1604" i="1"/>
  <c r="H1605" i="1"/>
  <c r="G1605" i="1"/>
  <c r="H1606" i="1"/>
  <c r="G1606" i="1"/>
  <c r="H1607" i="1"/>
  <c r="G1607" i="1"/>
  <c r="H1608" i="1"/>
  <c r="G1608" i="1"/>
  <c r="H1609" i="1"/>
  <c r="G1609" i="1"/>
  <c r="H1610" i="1"/>
  <c r="G1610" i="1"/>
  <c r="H1611" i="1"/>
  <c r="G1611" i="1"/>
  <c r="H1612" i="1"/>
  <c r="G1612" i="1"/>
  <c r="H1613" i="1"/>
  <c r="G1613" i="1"/>
  <c r="H1614" i="1"/>
  <c r="G1614" i="1"/>
  <c r="H1615" i="1"/>
  <c r="G1615" i="1"/>
  <c r="H1616" i="1"/>
  <c r="G1616" i="1"/>
  <c r="H1617" i="1"/>
  <c r="G1617" i="1"/>
  <c r="H1618" i="1"/>
  <c r="G1618" i="1"/>
  <c r="H1619" i="1"/>
  <c r="G1619" i="1"/>
  <c r="H1620" i="1"/>
  <c r="G1620" i="1"/>
  <c r="H1622" i="1"/>
  <c r="G1622" i="1"/>
  <c r="H1623" i="1"/>
  <c r="G1623" i="1"/>
  <c r="H1624" i="1"/>
  <c r="G1624" i="1"/>
  <c r="H1625" i="1"/>
  <c r="G1625" i="1"/>
  <c r="H1626" i="1"/>
  <c r="G1626" i="1"/>
  <c r="H1627" i="1"/>
  <c r="G1627" i="1"/>
  <c r="H1628" i="1"/>
  <c r="G1628" i="1"/>
  <c r="H1629" i="1"/>
  <c r="G1629" i="1"/>
  <c r="H1630" i="1"/>
  <c r="G1630" i="1"/>
  <c r="H1631" i="1"/>
  <c r="G1631" i="1"/>
  <c r="H1632" i="1"/>
  <c r="G1632" i="1"/>
  <c r="H1633" i="1"/>
  <c r="G1633" i="1"/>
  <c r="H1634" i="1"/>
  <c r="G1634" i="1"/>
  <c r="H1635" i="1"/>
  <c r="G1635" i="1"/>
  <c r="H1636" i="1"/>
  <c r="G1636" i="1"/>
  <c r="H1637" i="1"/>
  <c r="G1637" i="1"/>
  <c r="H1638" i="1"/>
  <c r="G1638" i="1"/>
  <c r="H1639" i="1"/>
  <c r="G1639" i="1"/>
  <c r="H1640" i="1"/>
  <c r="G1640" i="1"/>
  <c r="H1641" i="1"/>
  <c r="G1641" i="1"/>
  <c r="H1642" i="1"/>
  <c r="G1642" i="1"/>
  <c r="H1643" i="1"/>
  <c r="G1643" i="1"/>
  <c r="H1644" i="1"/>
  <c r="G1644" i="1"/>
  <c r="H1645" i="1"/>
  <c r="G1645" i="1"/>
  <c r="H1646" i="1"/>
  <c r="G1646" i="1"/>
  <c r="H1647" i="1"/>
  <c r="G1647" i="1"/>
  <c r="H1648" i="1"/>
  <c r="G1648" i="1"/>
  <c r="H1649" i="1"/>
  <c r="G1649" i="1"/>
  <c r="H1650" i="1"/>
  <c r="G1650" i="1"/>
  <c r="H1651" i="1"/>
  <c r="G1651" i="1"/>
  <c r="H1652" i="1"/>
  <c r="G1652" i="1"/>
  <c r="H1653" i="1"/>
  <c r="G1653" i="1"/>
  <c r="H1654" i="1"/>
  <c r="G1654" i="1"/>
  <c r="H1655" i="1"/>
  <c r="G1655" i="1"/>
  <c r="H1656" i="1"/>
  <c r="G1656" i="1"/>
  <c r="H1657" i="1"/>
  <c r="G1657" i="1"/>
  <c r="H1658" i="1"/>
  <c r="G1658" i="1"/>
  <c r="H1659" i="1"/>
  <c r="G1659" i="1"/>
  <c r="H1660" i="1"/>
  <c r="G1660" i="1"/>
  <c r="H1661" i="1"/>
  <c r="G1661" i="1"/>
  <c r="H1662" i="1"/>
  <c r="G1662" i="1"/>
  <c r="H1663" i="1"/>
  <c r="G1663" i="1"/>
  <c r="H1664" i="1"/>
  <c r="G1664" i="1"/>
  <c r="H1665" i="1"/>
  <c r="G1665" i="1"/>
  <c r="H1666" i="1"/>
  <c r="G1666" i="1"/>
  <c r="H1667" i="1"/>
  <c r="G1667" i="1"/>
  <c r="H1668" i="1"/>
  <c r="G1668" i="1"/>
  <c r="H1669" i="1"/>
  <c r="G1669" i="1"/>
  <c r="H1670" i="1"/>
  <c r="G1670" i="1"/>
  <c r="H1671" i="1"/>
  <c r="G1671" i="1"/>
  <c r="H1672" i="1"/>
  <c r="G1672" i="1"/>
  <c r="H1673" i="1"/>
  <c r="G1673" i="1"/>
  <c r="H1674" i="1"/>
  <c r="G1674" i="1"/>
  <c r="H1675" i="1"/>
  <c r="G1675" i="1"/>
  <c r="H1676" i="1"/>
  <c r="G1676" i="1"/>
  <c r="H1677" i="1"/>
  <c r="G1677" i="1"/>
  <c r="H1678" i="1"/>
  <c r="G1678" i="1"/>
  <c r="H1679" i="1"/>
  <c r="G1679" i="1"/>
  <c r="H1680" i="1"/>
  <c r="G1680" i="1"/>
  <c r="H1681" i="1"/>
  <c r="G1681" i="1"/>
  <c r="H1682" i="1"/>
  <c r="G1682" i="1"/>
  <c r="H1683" i="1"/>
  <c r="G1683" i="1"/>
  <c r="H1684" i="1"/>
  <c r="G1684" i="1"/>
  <c r="H1685" i="1"/>
  <c r="G1685" i="1"/>
  <c r="H1686" i="1"/>
  <c r="G1686" i="1"/>
  <c r="D422" i="4"/>
  <c r="F6" i="4"/>
  <c r="E422" i="4"/>
  <c r="E300" i="4"/>
  <c r="D296" i="1" s="1"/>
  <c r="D299" i="4"/>
  <c r="F152" i="4"/>
  <c r="E423" i="4"/>
  <c r="E301" i="4"/>
  <c r="D297" i="1" s="1"/>
  <c r="H24" i="9"/>
  <c r="G24" i="9"/>
  <c r="E24" i="9" s="1"/>
  <c r="F153" i="4"/>
  <c r="D417" i="4"/>
  <c r="F308" i="4"/>
  <c r="D418" i="4"/>
  <c r="F360" i="4"/>
  <c r="E418" i="4"/>
  <c r="D413" i="1" s="1"/>
  <c r="D647" i="4"/>
  <c r="F426" i="4"/>
  <c r="D648" i="4"/>
  <c r="F427" i="4"/>
  <c r="E648" i="4"/>
  <c r="D642" i="1" s="1"/>
  <c r="D639" i="4"/>
  <c r="F430" i="4"/>
  <c r="D640" i="4"/>
  <c r="F535" i="4"/>
  <c r="E640" i="4"/>
  <c r="D634" i="1" s="1"/>
  <c r="G156" i="9"/>
  <c r="E156" i="9" s="1"/>
  <c r="B156" i="9" s="1"/>
  <c r="F607" i="4"/>
  <c r="G306" i="9"/>
  <c r="E306" i="9" s="1"/>
  <c r="B306" i="9" s="1"/>
  <c r="G299" i="9"/>
  <c r="E299" i="9" s="1"/>
  <c r="F6" i="5"/>
  <c r="G314" i="9"/>
  <c r="E314" i="9" s="1"/>
  <c r="B314" i="9" s="1"/>
  <c r="F89" i="5"/>
  <c r="G316" i="9"/>
  <c r="G315" i="9"/>
  <c r="F150" i="5"/>
  <c r="H316" i="9"/>
  <c r="H315" i="9"/>
  <c r="G336" i="9"/>
  <c r="E336" i="9" s="1"/>
  <c r="B336" i="9" s="1"/>
  <c r="F178" i="5"/>
  <c r="G337" i="9"/>
  <c r="E337" i="9" s="1"/>
  <c r="B337" i="9" s="1"/>
  <c r="F197" i="5"/>
  <c r="G338" i="9"/>
  <c r="E338" i="9" s="1"/>
  <c r="B338" i="9" s="1"/>
  <c r="F203" i="5"/>
  <c r="G339" i="9"/>
  <c r="E339" i="9" s="1"/>
  <c r="B339" i="9" s="1"/>
  <c r="F219" i="5"/>
  <c r="D141" i="6"/>
  <c r="F5" i="6"/>
  <c r="B346" i="9"/>
  <c r="E345" i="9"/>
  <c r="I10" i="3" s="1"/>
  <c r="D44" i="8"/>
  <c r="H20" i="9"/>
  <c r="H19" i="9"/>
  <c r="E19" i="9" s="1"/>
  <c r="B19" i="9" s="1"/>
  <c r="H310" i="9"/>
  <c r="G310" i="9"/>
  <c r="E310" i="9" s="1"/>
  <c r="B310" i="9" s="1"/>
  <c r="H309" i="9"/>
  <c r="G309" i="9"/>
  <c r="E309" i="9" s="1"/>
  <c r="B309" i="9" s="1"/>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K1481" i="9" l="1"/>
  <c r="G344" i="9"/>
  <c r="E344" i="9" s="1"/>
  <c r="B344" i="9" s="1"/>
  <c r="I39" i="3"/>
  <c r="C1621" i="1"/>
  <c r="G343" i="9"/>
  <c r="E343" i="9" s="1"/>
  <c r="F141" i="6"/>
  <c r="H31" i="3"/>
  <c r="C1537" i="1"/>
  <c r="G348" i="9"/>
  <c r="E348" i="9" s="1"/>
  <c r="E315" i="9"/>
  <c r="B315" i="9" s="1"/>
  <c r="E316" i="9"/>
  <c r="B316" i="9" s="1"/>
  <c r="B299" i="9"/>
  <c r="F640" i="4"/>
  <c r="C634" i="1"/>
  <c r="F639" i="4"/>
  <c r="C633" i="1"/>
  <c r="F648" i="4"/>
  <c r="C642" i="1"/>
  <c r="F647" i="4"/>
  <c r="C641" i="1"/>
  <c r="F418" i="4"/>
  <c r="C413" i="1"/>
  <c r="F417" i="4"/>
  <c r="C412" i="1"/>
  <c r="B24" i="9"/>
  <c r="E644" i="4"/>
  <c r="E425" i="4"/>
  <c r="D420" i="1" s="1"/>
  <c r="D418" i="1"/>
  <c r="D423" i="4"/>
  <c r="D301" i="4"/>
  <c r="F299" i="4"/>
  <c r="C295" i="1"/>
  <c r="D300" i="4"/>
  <c r="E643" i="4"/>
  <c r="E424" i="4"/>
  <c r="D419" i="1" s="1"/>
  <c r="D417" i="1"/>
  <c r="D643" i="4"/>
  <c r="D424" i="4"/>
  <c r="F422" i="4"/>
  <c r="C417" i="1"/>
  <c r="M3" i="9"/>
  <c r="H334" i="9" l="1"/>
  <c r="G334" i="9"/>
  <c r="E334" i="9" s="1"/>
  <c r="H417" i="1"/>
  <c r="G417" i="1"/>
  <c r="F424" i="4"/>
  <c r="C419" i="1"/>
  <c r="F643" i="4"/>
  <c r="C637" i="1"/>
  <c r="E645" i="4"/>
  <c r="D637" i="1"/>
  <c r="F300" i="4"/>
  <c r="C296" i="1"/>
  <c r="H295" i="1"/>
  <c r="G295" i="1"/>
  <c r="F301" i="4"/>
  <c r="C297" i="1"/>
  <c r="D644" i="4"/>
  <c r="D425" i="4"/>
  <c r="F423" i="4"/>
  <c r="C418" i="1"/>
  <c r="G20" i="9"/>
  <c r="E20" i="9" s="1"/>
  <c r="B20" i="9" s="1"/>
  <c r="E646" i="4"/>
  <c r="D638" i="1"/>
  <c r="H412" i="1"/>
  <c r="G412" i="1"/>
  <c r="H413" i="1"/>
  <c r="G413" i="1"/>
  <c r="H641" i="1"/>
  <c r="G641" i="1"/>
  <c r="H642" i="1"/>
  <c r="G642" i="1"/>
  <c r="H633" i="1"/>
  <c r="G633" i="1"/>
  <c r="H634" i="1"/>
  <c r="G634" i="1"/>
  <c r="B348" i="9"/>
  <c r="E347" i="9"/>
  <c r="H1537" i="1"/>
  <c r="G1537" i="1"/>
  <c r="H9" i="3"/>
  <c r="B343" i="9"/>
  <c r="E342" i="9"/>
  <c r="H1621" i="1"/>
  <c r="G1621" i="1"/>
  <c r="H11" i="3"/>
  <c r="N3" i="9" l="1"/>
  <c r="I11" i="3"/>
  <c r="K3" i="9"/>
  <c r="I9" i="3"/>
  <c r="E650" i="4"/>
  <c r="D640" i="1"/>
  <c r="H418" i="1"/>
  <c r="G418" i="1"/>
  <c r="F425" i="4"/>
  <c r="C420" i="1"/>
  <c r="D646" i="4"/>
  <c r="F644" i="4"/>
  <c r="C638" i="1"/>
  <c r="D645" i="4"/>
  <c r="H297" i="1"/>
  <c r="G297" i="1"/>
  <c r="H296" i="1"/>
  <c r="G296" i="1"/>
  <c r="E649" i="4"/>
  <c r="D639" i="1"/>
  <c r="H637" i="1"/>
  <c r="G637" i="1"/>
  <c r="H419" i="1"/>
  <c r="G419" i="1"/>
  <c r="B334" i="9"/>
  <c r="E298" i="9"/>
  <c r="I8" i="3" s="1"/>
  <c r="I19" i="3" l="1"/>
  <c r="D643" i="1"/>
  <c r="D649" i="4"/>
  <c r="F645" i="4"/>
  <c r="C639" i="1"/>
  <c r="H638" i="1"/>
  <c r="G638" i="1"/>
  <c r="D650" i="4"/>
  <c r="F646" i="4"/>
  <c r="C640" i="1"/>
  <c r="H420" i="1"/>
  <c r="G420" i="1"/>
  <c r="I20" i="3"/>
  <c r="D644" i="1"/>
  <c r="H640" i="1" l="1"/>
  <c r="G640" i="1"/>
  <c r="F650" i="4"/>
  <c r="H20" i="3"/>
  <c r="C644" i="1"/>
  <c r="G297" i="9"/>
  <c r="E297" i="9" s="1"/>
  <c r="B297" i="9" s="1"/>
  <c r="H639" i="1"/>
  <c r="G639" i="1"/>
  <c r="F649" i="4"/>
  <c r="H19" i="3"/>
  <c r="C643" i="1"/>
  <c r="H643" i="1" l="1"/>
  <c r="G643" i="1"/>
  <c r="H7" i="3"/>
  <c r="H644" i="1"/>
  <c r="G644" i="1"/>
  <c r="J3" i="9" l="1"/>
  <c r="H295" i="9" l="1"/>
  <c r="G295" i="9"/>
  <c r="E295" i="9" s="1"/>
  <c r="L293" i="9"/>
  <c r="F293" i="9" s="1"/>
  <c r="H18" i="9"/>
  <c r="G18" i="9"/>
  <c r="E18" i="9" s="1"/>
  <c r="B18" i="9" s="1"/>
  <c r="H22" i="9"/>
  <c r="G22" i="9"/>
  <c r="E22" i="9" s="1"/>
  <c r="B22" i="9" s="1"/>
  <c r="H21" i="9"/>
  <c r="G21" i="9"/>
  <c r="E21" i="9" s="1"/>
  <c r="B21" i="9" s="1"/>
  <c r="J17" i="9"/>
  <c r="I17" i="9"/>
  <c r="H17" i="9"/>
  <c r="G17" i="9"/>
  <c r="E17" i="9" s="1"/>
  <c r="B17" i="9" s="1"/>
  <c r="M16" i="9"/>
  <c r="L16" i="9"/>
  <c r="F16" i="9" s="1"/>
  <c r="H16" i="9"/>
  <c r="G16" i="9"/>
  <c r="E16" i="9" s="1"/>
  <c r="B16" i="9" s="1"/>
  <c r="M15" i="9"/>
  <c r="L15" i="9"/>
  <c r="F15" i="9" s="1"/>
  <c r="F14" i="9" s="1"/>
  <c r="H15" i="9"/>
  <c r="G15" i="9"/>
  <c r="E15" i="9" s="1"/>
  <c r="K13" i="9"/>
  <c r="J13" i="9"/>
  <c r="I13" i="9"/>
  <c r="E13" i="9" s="1"/>
  <c r="B13" i="9" s="1"/>
  <c r="K12" i="9"/>
  <c r="J12" i="9"/>
  <c r="I12" i="9"/>
  <c r="E12" i="9" s="1"/>
  <c r="B12" i="9" s="1"/>
  <c r="K11" i="9"/>
  <c r="J11" i="9"/>
  <c r="I11" i="9"/>
  <c r="E11" i="9" s="1"/>
  <c r="B11" i="9" s="1"/>
  <c r="K10" i="9"/>
  <c r="J10" i="9"/>
  <c r="E10" i="9" s="1"/>
  <c r="B10" i="9" s="1"/>
  <c r="K9" i="9"/>
  <c r="J9" i="9"/>
  <c r="I9" i="9"/>
  <c r="E9" i="9" s="1"/>
  <c r="B9" i="9" s="1"/>
  <c r="K8" i="9"/>
  <c r="J8" i="9"/>
  <c r="I8" i="9"/>
  <c r="E8" i="9" s="1"/>
  <c r="B8" i="9" s="1"/>
  <c r="K7" i="9"/>
  <c r="J7" i="9"/>
  <c r="I7" i="9"/>
  <c r="E7" i="9" s="1"/>
  <c r="B7" i="9" s="1"/>
  <c r="K6" i="9"/>
  <c r="J6" i="9"/>
  <c r="I6" i="9"/>
  <c r="E6" i="9" s="1"/>
  <c r="B6" i="9" s="1"/>
  <c r="K5" i="9"/>
  <c r="J5" i="9"/>
  <c r="I5" i="9"/>
  <c r="E5" i="9" s="1"/>
  <c r="B5" i="9" l="1"/>
  <c r="E4" i="9"/>
  <c r="B15" i="9"/>
  <c r="E14" i="9"/>
  <c r="I13" i="3" s="1"/>
  <c r="B293" i="9"/>
  <c r="F23" i="9"/>
  <c r="F3" i="9" s="1"/>
  <c r="B295" i="9"/>
  <c r="E23" i="9"/>
  <c r="I7" i="3" s="1"/>
  <c r="E3" i="9" l="1"/>
</calcChain>
</file>

<file path=xl/sharedStrings.xml><?xml version="1.0" encoding="utf-8"?>
<sst xmlns="http://schemas.openxmlformats.org/spreadsheetml/2006/main" count="4733" uniqueCount="3657">
  <si>
    <t>Obveznik:</t>
  </si>
  <si>
    <t>28356 - OPĆINA BUDINŠČINA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</si>
  <si>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</si>
  <si>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</si>
  <si>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</si>
  <si>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</si>
  <si>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</si>
  <si>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</si>
  <si>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</si>
  <si>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</si>
  <si>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</si>
  <si>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</si>
  <si>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</si>
  <si>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</si>
  <si>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</si>
  <si>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</si>
  <si>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</si>
  <si>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</si>
  <si>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</si>
  <si>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</si>
  <si>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</si>
  <si>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</si>
  <si>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</si>
  <si>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</si>
  <si>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</si>
  <si>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</si>
  <si>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</si>
  <si>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</si>
  <si>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</si>
  <si>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</si>
  <si>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</si>
  <si>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</si>
  <si>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</si>
  <si>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</si>
  <si>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</si>
  <si>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</si>
  <si>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</si>
  <si>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</si>
  <si>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</si>
  <si>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</si>
  <si>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</si>
  <si>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</si>
  <si>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</si>
  <si>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</si>
  <si>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</si>
  <si>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</si>
  <si>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</si>
  <si>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</si>
  <si>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</si>
  <si>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</si>
  <si>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</si>
  <si>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</si>
  <si>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</si>
  <si>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</si>
  <si>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</si>
  <si>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</si>
  <si>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</si>
  <si>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</si>
  <si>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</si>
  <si>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</si>
  <si>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</si>
  <si>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</si>
  <si>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</si>
  <si>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</si>
  <si>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</si>
  <si>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</si>
  <si>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</si>
  <si>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</si>
  <si>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</si>
  <si>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</si>
  <si>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</si>
  <si>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</si>
  <si>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</si>
  <si>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</si>
  <si>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</si>
  <si>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</si>
  <si>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</si>
  <si>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</si>
  <si>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</si>
  <si>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</si>
  <si>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</si>
  <si>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</si>
  <si>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</si>
  <si>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</si>
  <si>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</si>
  <si>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</si>
  <si>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</si>
  <si>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</si>
  <si>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</si>
  <si>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</si>
  <si>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</si>
  <si>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</si>
  <si>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</si>
  <si>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</si>
  <si>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</si>
  <si>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</si>
  <si>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</si>
  <si>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</si>
  <si>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</si>
  <si>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</si>
  <si>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</si>
  <si>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</si>
  <si>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</si>
  <si>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</si>
  <si>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</si>
  <si>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</si>
  <si>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</si>
  <si>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</si>
  <si>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</si>
  <si>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</si>
  <si>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</si>
  <si>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</si>
  <si>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</si>
  <si>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</si>
  <si>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</si>
  <si>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</si>
  <si>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</si>
  <si>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</si>
  <si>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</si>
  <si>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</si>
  <si>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</si>
  <si>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</si>
  <si>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</si>
  <si>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</si>
  <si>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</si>
  <si>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</si>
  <si>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</si>
  <si>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</si>
  <si>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</si>
  <si>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</si>
  <si>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</si>
  <si>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</si>
  <si>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</si>
  <si>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</si>
  <si>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</si>
  <si>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</si>
  <si>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</si>
  <si>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</si>
  <si>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</si>
  <si>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</si>
  <si>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</si>
  <si>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</si>
  <si>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</si>
  <si>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</si>
  <si>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</si>
  <si>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</si>
  <si>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</si>
  <si>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</si>
  <si>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</si>
  <si>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</si>
  <si>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</si>
  <si>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</si>
  <si>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</si>
  <si>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</si>
  <si>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</si>
  <si>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</si>
  <si>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</si>
  <si>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</si>
  <si>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</si>
  <si>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</si>
  <si>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</si>
  <si>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</si>
  <si>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</si>
  <si>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</si>
  <si>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</si>
  <si>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</si>
  <si>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</si>
  <si>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</si>
  <si>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</si>
  <si>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</si>
  <si>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</si>
  <si>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</si>
  <si>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</si>
  <si>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</si>
  <si>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</si>
  <si>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</si>
  <si>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</si>
  <si>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</si>
  <si>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</si>
  <si>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</si>
  <si>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</si>
  <si>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</si>
  <si>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</si>
  <si>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</si>
  <si>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</si>
  <si>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</si>
  <si>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</si>
  <si>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</si>
  <si>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</si>
  <si>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</si>
  <si>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</si>
  <si>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</si>
  <si>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</si>
  <si>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</si>
  <si>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</si>
  <si>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</si>
  <si>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</si>
  <si>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</si>
  <si>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</si>
  <si>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</si>
  <si>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</si>
  <si>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</si>
  <si>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</si>
  <si>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</si>
  <si>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</si>
  <si>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</si>
  <si>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</si>
  <si>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</si>
  <si>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</si>
  <si>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</si>
  <si>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</si>
  <si>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</si>
  <si>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</si>
  <si>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</si>
  <si>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</si>
  <si>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</si>
  <si>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</si>
  <si>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</si>
  <si>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</si>
  <si>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</si>
  <si>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</si>
  <si>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</si>
  <si>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</si>
  <si>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</si>
  <si>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</si>
  <si>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</si>
  <si>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</si>
  <si>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</si>
  <si>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</si>
  <si>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</si>
  <si>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</si>
  <si>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</si>
  <si>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</si>
  <si>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</si>
  <si>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</si>
  <si>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</si>
  <si>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</si>
  <si>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</si>
  <si>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</si>
  <si>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</si>
  <si>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</si>
  <si>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</si>
  <si>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</si>
  <si>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</si>
  <si>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</si>
  <si>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</si>
  <si>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</si>
  <si>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</si>
  <si>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</si>
  <si>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</si>
  <si>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</si>
  <si>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</si>
  <si>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</si>
  <si>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</si>
  <si>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</si>
  <si>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</si>
  <si>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</si>
  <si>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</si>
  <si>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</si>
  <si>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</si>
  <si>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</si>
  <si>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</si>
  <si>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</si>
  <si>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</si>
  <si>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</si>
  <si>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</si>
  <si>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</si>
  <si>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</si>
  <si>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</si>
  <si>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</si>
  <si>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</si>
  <si>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</si>
  <si>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</si>
  <si>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</si>
  <si>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</si>
  <si>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</si>
  <si>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</si>
  <si>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</si>
  <si>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</si>
  <si>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</si>
  <si>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</si>
  <si>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</si>
  <si>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</si>
  <si>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</si>
  <si>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</si>
  <si>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</si>
  <si>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</si>
  <si>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</si>
  <si>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</si>
  <si>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</si>
  <si>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</si>
  <si>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</si>
  <si>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</si>
  <si>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</si>
  <si>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</si>
  <si>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</si>
  <si>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</si>
  <si>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</si>
  <si>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</si>
  <si>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</si>
  <si>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</si>
  <si>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</si>
  <si>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</si>
  <si>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</si>
  <si>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</si>
  <si>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</si>
  <si>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</si>
  <si>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</si>
  <si>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</si>
  <si>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</si>
  <si>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</si>
  <si>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</si>
  <si>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</si>
  <si>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</si>
  <si>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</si>
  <si>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</si>
  <si>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</si>
  <si>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</si>
  <si>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</si>
  <si>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</si>
  <si>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</si>
  <si>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</si>
  <si>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</si>
  <si>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</si>
  <si>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</si>
  <si>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</si>
  <si>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</si>
  <si>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</si>
  <si>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</si>
  <si>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</si>
  <si>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</si>
  <si>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</si>
  <si>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</si>
  <si>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</si>
  <si>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</si>
  <si>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</si>
  <si>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</si>
  <si>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</si>
  <si>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</si>
  <si>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</si>
  <si>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</si>
  <si>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</si>
  <si>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</si>
  <si>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</si>
  <si>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</si>
  <si>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</si>
  <si>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</si>
  <si>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</si>
  <si>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</si>
  <si>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</si>
  <si>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</si>
  <si>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</si>
  <si>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</si>
  <si>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</si>
  <si>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</si>
  <si>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</si>
  <si>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</si>
  <si>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</si>
  <si>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</si>
  <si>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</si>
  <si>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</si>
  <si>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</si>
  <si>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</si>
  <si>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</si>
  <si>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</si>
  <si>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</si>
  <si>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</si>
  <si>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</si>
  <si>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</si>
  <si>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</si>
  <si>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</si>
  <si>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</si>
  <si>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</si>
  <si>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</si>
  <si>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</si>
  <si>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</si>
  <si>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</si>
  <si>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</si>
  <si>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</si>
  <si>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</si>
  <si>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</si>
  <si>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</si>
  <si>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</si>
  <si>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</si>
  <si>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</si>
  <si>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</si>
  <si>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</si>
  <si>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</si>
  <si>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</si>
  <si>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</si>
  <si>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</si>
  <si>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</si>
  <si>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</si>
  <si>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</si>
  <si>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</si>
  <si>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</si>
  <si>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</si>
  <si>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</si>
  <si>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</si>
  <si>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</si>
  <si>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</si>
  <si>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</si>
  <si>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</si>
  <si>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</si>
  <si>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</si>
  <si>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</si>
  <si>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</si>
  <si>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</si>
  <si>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</si>
  <si>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</si>
  <si>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</si>
  <si>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</si>
  <si>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</si>
  <si>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</si>
  <si>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</si>
  <si>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</si>
  <si>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</si>
  <si>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</si>
  <si>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</si>
  <si>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</si>
  <si>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</si>
  <si>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</si>
  <si>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</si>
  <si>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</si>
  <si>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</si>
  <si>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</si>
  <si>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</si>
  <si>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</si>
  <si>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</si>
  <si>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</si>
  <si>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</si>
  <si>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</si>
  <si>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</si>
  <si>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</si>
  <si>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</si>
  <si>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</si>
  <si>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</si>
  <si>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</si>
  <si>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</si>
  <si>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</si>
  <si>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</si>
  <si>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</si>
  <si>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</si>
  <si>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</si>
  <si>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</si>
  <si>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</si>
  <si>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</si>
  <si>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</si>
  <si>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</si>
  <si>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</si>
  <si>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</si>
  <si>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</si>
  <si>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</si>
  <si>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</si>
  <si>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</si>
  <si>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</si>
  <si>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</si>
  <si>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</si>
  <si>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</si>
  <si>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</si>
  <si>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</si>
  <si>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</si>
  <si>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</si>
  <si>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</si>
  <si>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</si>
  <si>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</si>
  <si>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</si>
  <si>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</si>
  <si>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</si>
  <si>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</si>
  <si>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</si>
  <si>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</si>
  <si>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</si>
  <si>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</si>
  <si>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</si>
  <si>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</si>
  <si>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</si>
  <si>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</si>
  <si>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</si>
  <si>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</si>
  <si>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</si>
  <si>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</si>
  <si>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</si>
  <si>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</si>
  <si>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</si>
  <si>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</si>
  <si>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</si>
  <si>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</si>
  <si>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</si>
  <si>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</si>
  <si>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</si>
  <si>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</si>
  <si>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</si>
  <si>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</si>
  <si>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</si>
  <si>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</si>
  <si>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</si>
  <si>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</si>
  <si>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</si>
  <si>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</si>
  <si>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</si>
  <si>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</si>
  <si>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</si>
  <si>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</si>
  <si>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</si>
  <si>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</si>
  <si>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</si>
  <si>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</si>
  <si>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</si>
  <si>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</si>
  <si>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</si>
  <si>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</si>
  <si>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</si>
  <si>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</si>
  <si>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</si>
  <si>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</si>
  <si>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</si>
  <si>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</si>
  <si>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</si>
  <si>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</si>
  <si>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</si>
  <si>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</si>
  <si>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</si>
  <si>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</si>
  <si>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</si>
  <si>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</si>
  <si>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</si>
  <si>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</si>
  <si>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</si>
  <si>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</si>
  <si>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</si>
  <si>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</si>
  <si>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</si>
  <si>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</si>
  <si>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</si>
  <si>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</si>
  <si>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</si>
  <si>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</si>
  <si>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</si>
  <si>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</si>
  <si>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</si>
  <si>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</si>
  <si>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</si>
  <si>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</si>
  <si>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</si>
  <si>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</si>
  <si>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</si>
  <si>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</si>
  <si>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</si>
  <si>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</si>
  <si>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</si>
  <si>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</si>
  <si>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</si>
  <si>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</si>
  <si>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</si>
  <si>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</si>
  <si>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</si>
  <si>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</si>
  <si>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</si>
  <si>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</si>
  <si>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</si>
  <si>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</si>
  <si>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</si>
  <si>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</si>
  <si>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</si>
  <si>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</si>
  <si>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</si>
  <si>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</si>
  <si>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</si>
  <si>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</si>
  <si>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</si>
  <si>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</si>
  <si>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</si>
  <si>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</si>
  <si>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</si>
  <si>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</si>
  <si>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</si>
  <si>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</si>
  <si>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</si>
  <si>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</si>
  <si>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</si>
  <si>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</si>
  <si>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</si>
  <si>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</si>
  <si>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</si>
  <si>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</si>
  <si>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</si>
  <si>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</si>
  <si>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</si>
  <si>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</si>
  <si>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</si>
  <si>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</si>
  <si>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</si>
  <si>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</si>
  <si>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</si>
  <si>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</si>
  <si>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</si>
  <si>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</si>
  <si>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</si>
  <si>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</si>
  <si>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</si>
  <si>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</si>
  <si>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</si>
  <si>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</si>
  <si>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</si>
  <si>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</si>
  <si>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</si>
  <si>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</si>
  <si>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</si>
  <si>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</si>
  <si>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</si>
  <si>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</si>
  <si>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</si>
  <si>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</si>
  <si>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</si>
  <si>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</si>
  <si>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</si>
  <si>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</si>
  <si>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</si>
  <si>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</si>
  <si>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</si>
  <si>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</si>
  <si>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</si>
  <si>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</si>
  <si>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</si>
  <si>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</si>
  <si>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</si>
  <si>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</si>
  <si>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</si>
  <si>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</si>
  <si>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</si>
  <si>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</si>
  <si>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</si>
  <si>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</si>
  <si>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</si>
  <si>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</si>
  <si>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</si>
  <si>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</si>
  <si>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</si>
  <si>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</si>
  <si>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</si>
  <si>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</si>
  <si>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</si>
  <si>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</si>
  <si>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</si>
  <si>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</si>
  <si>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</si>
  <si>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</si>
  <si>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</si>
  <si>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</si>
  <si>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</si>
  <si>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</si>
  <si>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</si>
  <si>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</si>
  <si>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</si>
  <si>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</si>
  <si>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</si>
  <si>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</si>
  <si>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</si>
  <si>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</si>
  <si>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</si>
  <si>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</si>
  <si>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</si>
  <si>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</si>
  <si>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</si>
  <si>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</si>
  <si>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</si>
  <si>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</si>
  <si>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</si>
  <si>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</si>
  <si>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</si>
  <si>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</si>
  <si>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</si>
  <si>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</si>
  <si>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</si>
  <si>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</si>
  <si>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</si>
  <si>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</si>
  <si>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</si>
  <si>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</si>
  <si>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</si>
  <si>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</si>
  <si>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</si>
  <si>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</si>
  <si>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</si>
  <si>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</si>
  <si>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</si>
  <si>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</si>
  <si>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</si>
  <si>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</si>
  <si>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</si>
  <si>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</si>
  <si>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</si>
  <si>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</si>
  <si>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</si>
  <si>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</si>
  <si>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</si>
  <si>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</si>
  <si>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</si>
  <si>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</si>
  <si>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</si>
  <si>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</si>
  <si>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</si>
  <si>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</si>
  <si>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</si>
  <si>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</si>
  <si>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</si>
  <si>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</si>
  <si>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</si>
  <si>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</si>
  <si>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</si>
  <si>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</si>
  <si>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</si>
  <si>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</si>
  <si>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</si>
  <si>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</si>
  <si>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</si>
  <si>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</si>
  <si>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</si>
  <si>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</si>
  <si>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</si>
  <si>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</si>
  <si>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</si>
  <si>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</si>
  <si>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</si>
  <si>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</si>
  <si>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</si>
  <si>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</si>
  <si>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</si>
  <si>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</si>
  <si>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</si>
  <si>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</si>
  <si>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</si>
  <si>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</si>
  <si>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</si>
  <si>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</si>
  <si>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</si>
  <si>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</si>
  <si>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</si>
  <si>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</si>
  <si>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</si>
  <si>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</si>
  <si>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</si>
  <si>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</si>
  <si>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</si>
  <si>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</si>
  <si>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</si>
  <si>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</si>
  <si>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</si>
  <si>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</si>
  <si>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</si>
  <si>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</si>
  <si>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</si>
  <si>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</si>
  <si>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</si>
  <si>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</si>
  <si>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</si>
  <si>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</si>
  <si>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</si>
  <si>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</si>
  <si>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</si>
  <si>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</si>
  <si>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</si>
  <si>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</si>
  <si>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</si>
  <si>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</si>
  <si>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</si>
  <si>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</si>
  <si>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</si>
  <si>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</si>
  <si>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</si>
  <si>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</si>
  <si>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</si>
  <si>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</si>
  <si>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</si>
  <si>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</si>
  <si>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</si>
  <si>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</si>
  <si>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</si>
  <si>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</si>
  <si>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</si>
  <si>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</si>
  <si>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</si>
  <si>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</si>
  <si>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</si>
  <si>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</si>
  <si>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</si>
  <si>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</si>
  <si>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</si>
  <si>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</si>
  <si>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</si>
  <si>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</si>
  <si>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</si>
  <si>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</si>
  <si>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</si>
  <si>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</si>
  <si>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</si>
  <si>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</si>
  <si>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</si>
  <si>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</si>
  <si>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</si>
  <si>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</si>
  <si>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</si>
  <si>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</si>
  <si>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</si>
  <si>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</si>
  <si>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</si>
  <si>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</si>
  <si>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</si>
  <si>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</si>
  <si>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</si>
  <si>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</si>
  <si>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</si>
  <si>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</si>
  <si>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</si>
  <si>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</si>
  <si>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</si>
  <si>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</si>
  <si>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</si>
  <si>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</si>
  <si>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</si>
  <si>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</si>
  <si>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</si>
  <si>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</si>
  <si>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</si>
  <si>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</si>
  <si>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</si>
  <si>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</si>
  <si>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</si>
  <si>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</si>
  <si>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</si>
  <si>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</si>
  <si>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</si>
  <si>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</si>
  <si>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</si>
  <si>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</si>
  <si>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</si>
  <si>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</si>
  <si>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</si>
  <si>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</si>
  <si>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</si>
  <si>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</si>
  <si>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</si>
  <si>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</si>
  <si>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</si>
  <si>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</si>
  <si>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</si>
  <si>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</si>
  <si>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</si>
  <si>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</si>
  <si>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</si>
  <si>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</si>
  <si>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</si>
  <si>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</si>
  <si>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</si>
  <si>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</si>
  <si>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</si>
  <si>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</si>
  <si>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</si>
  <si>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</si>
  <si>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</si>
  <si>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</si>
  <si>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</si>
  <si>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</si>
  <si>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</si>
  <si>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</si>
  <si>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</si>
  <si>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</si>
  <si>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</si>
  <si>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</si>
  <si>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</si>
  <si>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</si>
  <si>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</si>
  <si>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</si>
  <si>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</si>
  <si>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</si>
  <si>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</si>
  <si>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</si>
  <si>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</si>
  <si>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</si>
  <si>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</si>
  <si>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</si>
  <si>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</si>
  <si>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</si>
  <si>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</si>
  <si>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</si>
  <si>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</si>
  <si>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</si>
  <si>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</si>
  <si>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</si>
  <si>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</si>
  <si>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</si>
  <si>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</si>
  <si>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</si>
  <si>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</si>
  <si>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</si>
  <si>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</si>
  <si>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</si>
  <si>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</si>
  <si>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</si>
  <si>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</si>
  <si>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</si>
  <si>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</si>
  <si>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</si>
  <si>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</si>
  <si>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</si>
  <si>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</si>
  <si>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</si>
  <si>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</si>
  <si>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</si>
  <si>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</si>
  <si>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</si>
  <si>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</si>
  <si>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</si>
  <si>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</si>
  <si>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</si>
  <si>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</si>
  <si>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</si>
  <si>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</si>
  <si>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</si>
  <si>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</si>
  <si>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</si>
  <si>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</si>
  <si>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</si>
  <si>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</si>
  <si>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</si>
  <si>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</si>
  <si>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</si>
  <si>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</si>
  <si>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</si>
  <si>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</si>
  <si>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</si>
  <si>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</si>
  <si>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</si>
  <si>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</si>
  <si>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</si>
  <si>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</si>
  <si>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</si>
  <si>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</si>
  <si>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</si>
  <si>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</si>
  <si>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</si>
  <si>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</si>
  <si>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</si>
  <si>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</si>
  <si>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</si>
  <si>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</si>
  <si>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</si>
  <si>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</si>
  <si>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</si>
  <si>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</si>
  <si>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</si>
  <si>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</si>
  <si>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</si>
  <si>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</si>
  <si>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</si>
  <si>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</si>
  <si>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</si>
  <si>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</si>
  <si>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</si>
  <si>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</si>
  <si>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</si>
  <si>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</si>
  <si>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</si>
  <si>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</si>
  <si>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</si>
  <si>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</si>
  <si>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</si>
  <si>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</si>
  <si>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</si>
  <si>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</si>
  <si>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</si>
  <si>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</si>
  <si>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</si>
  <si>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</si>
  <si>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</si>
  <si>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</si>
  <si>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</si>
  <si>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</si>
  <si>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</si>
  <si>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</si>
  <si>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</si>
  <si>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</si>
  <si>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</si>
  <si>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</si>
  <si>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</si>
  <si>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</si>
  <si>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</si>
  <si>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</si>
  <si>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</si>
  <si>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</si>
  <si>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</si>
  <si>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</si>
  <si>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</si>
  <si>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</si>
  <si>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</si>
  <si>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</si>
  <si>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</si>
  <si>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</si>
  <si>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</si>
  <si>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</si>
  <si>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</si>
  <si>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</si>
  <si>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</si>
  <si>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</si>
  <si>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</si>
  <si>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</si>
  <si>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</si>
  <si>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</si>
  <si>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</si>
  <si>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</si>
  <si>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</si>
  <si>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</si>
  <si>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</si>
  <si>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</si>
  <si>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</si>
  <si>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</si>
  <si>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</si>
  <si>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</si>
  <si>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</si>
  <si>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</si>
  <si>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</si>
  <si>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</si>
  <si>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</si>
  <si>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</si>
  <si>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</si>
  <si>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</si>
  <si>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</si>
  <si>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</si>
  <si>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</si>
  <si>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</si>
  <si>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</si>
  <si>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</si>
  <si>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</si>
  <si>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</si>
  <si>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</si>
  <si>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</si>
  <si>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</si>
  <si>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</si>
  <si>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</si>
  <si>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</si>
  <si>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</si>
  <si>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</si>
  <si>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</si>
  <si>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</si>
  <si>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</si>
  <si>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</si>
  <si>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</si>
  <si>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</si>
  <si>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</si>
  <si>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</si>
  <si>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</si>
  <si>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</si>
  <si>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</si>
  <si>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</si>
  <si>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</si>
  <si>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</si>
  <si>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</si>
  <si>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</si>
  <si>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</si>
  <si>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</si>
  <si>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</si>
  <si>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</si>
  <si>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</si>
  <si>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</si>
  <si>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</si>
  <si>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</si>
  <si>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</si>
  <si>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</si>
  <si>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</si>
  <si>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</si>
  <si>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</si>
  <si>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</si>
  <si>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</si>
  <si>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</si>
  <si>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</si>
  <si>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</si>
  <si>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</si>
  <si>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</si>
  <si>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</si>
  <si>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</si>
  <si>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</si>
  <si>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</si>
  <si>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</si>
  <si>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</si>
  <si>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</si>
  <si>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</si>
  <si>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</si>
  <si>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</si>
  <si>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</si>
  <si>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</si>
  <si>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</si>
  <si>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</si>
  <si>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</si>
  <si>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</si>
  <si>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</si>
  <si>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</si>
  <si>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</si>
  <si>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</si>
  <si>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</si>
  <si>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</si>
  <si>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</si>
  <si>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</si>
  <si>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</si>
  <si>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</si>
  <si>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</si>
  <si>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</si>
  <si>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</si>
  <si>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</si>
  <si>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</si>
  <si>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</si>
  <si>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</si>
  <si>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</si>
  <si>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</si>
  <si>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</si>
  <si>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</si>
  <si>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</si>
  <si>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</si>
  <si>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</si>
  <si>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</si>
  <si>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</si>
  <si>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</si>
  <si>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</si>
  <si>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</si>
  <si>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</si>
  <si>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</si>
  <si>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</si>
  <si>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</si>
  <si>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</si>
  <si>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</si>
  <si>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</si>
  <si>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</si>
  <si>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</si>
  <si>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</si>
  <si>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</si>
  <si>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</si>
  <si>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</si>
  <si>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</si>
  <si>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</si>
  <si>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</si>
  <si>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</si>
  <si>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</si>
  <si>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</si>
  <si>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</si>
  <si>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</si>
  <si>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</si>
  <si>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</si>
  <si>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</si>
  <si>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</si>
  <si>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</si>
  <si>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</si>
  <si>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</si>
  <si>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</si>
  <si>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</si>
  <si>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</si>
  <si>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</si>
  <si>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</si>
  <si>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</si>
  <si>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</si>
  <si>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</si>
  <si>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</si>
  <si>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</si>
  <si>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</si>
  <si>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</si>
  <si>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</si>
  <si>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</si>
  <si>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</si>
  <si>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</si>
  <si>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</si>
  <si>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</si>
  <si>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</si>
  <si>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</si>
  <si>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</si>
  <si>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</si>
  <si>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</si>
  <si>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</si>
  <si>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</si>
  <si>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</si>
  <si>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</si>
  <si>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</si>
  <si>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</si>
  <si>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</si>
  <si>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</si>
  <si>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</si>
  <si>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</si>
  <si>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</si>
  <si>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</si>
  <si>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</si>
  <si>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</si>
  <si>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</si>
  <si>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</si>
  <si>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</si>
  <si>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</si>
  <si>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</si>
  <si>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</si>
  <si>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</si>
  <si>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</si>
  <si>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</si>
  <si>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</si>
  <si>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</si>
  <si>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</si>
  <si>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</si>
  <si>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</si>
  <si>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</si>
  <si>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</si>
  <si>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</si>
  <si>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</si>
  <si>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</si>
  <si>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</si>
  <si>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</si>
  <si>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</si>
  <si>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</si>
  <si>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</si>
  <si>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</si>
  <si>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</si>
  <si>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</si>
  <si>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</si>
  <si>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</si>
  <si>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</si>
  <si>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</si>
  <si>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</si>
  <si>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</si>
  <si>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</si>
  <si>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</si>
  <si>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</si>
  <si>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</si>
  <si>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</si>
  <si>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</si>
  <si>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</si>
  <si>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</si>
  <si>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</si>
  <si>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</si>
  <si>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</si>
  <si>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</si>
  <si>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</si>
  <si>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</si>
  <si>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</si>
  <si>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</si>
  <si>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</si>
  <si>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</si>
  <si>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</si>
  <si>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</si>
  <si>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</si>
  <si>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</si>
  <si>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</si>
  <si>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</si>
  <si>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</si>
  <si>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</si>
  <si>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</si>
  <si>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</si>
  <si>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</si>
  <si>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</si>
  <si>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</si>
  <si>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</si>
  <si>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</si>
  <si>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</si>
  <si>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</si>
  <si>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</si>
  <si>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</si>
  <si>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</si>
  <si>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</si>
  <si>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</si>
  <si>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</si>
  <si>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</si>
  <si>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</si>
  <si>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</si>
  <si>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</si>
  <si>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</si>
  <si>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</si>
  <si>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</si>
  <si>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</si>
  <si>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</si>
  <si>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</si>
  <si>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</si>
  <si>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</si>
  <si>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</si>
  <si>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</si>
  <si>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</si>
  <si>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</si>
  <si>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</si>
  <si>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</si>
  <si>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</si>
  <si>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</si>
  <si>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</si>
  <si>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</si>
  <si>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</si>
  <si>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</si>
  <si>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</si>
  <si>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</si>
  <si>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</si>
  <si>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</si>
  <si>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</si>
  <si>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</si>
  <si>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</si>
  <si>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</si>
  <si>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</si>
  <si>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</si>
  <si>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</si>
  <si>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</si>
  <si>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</si>
  <si>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</si>
  <si>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</si>
  <si>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</si>
  <si>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</si>
  <si>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</si>
  <si>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</si>
  <si>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</si>
  <si>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</si>
  <si>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</si>
  <si>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</si>
  <si>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</si>
  <si>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</si>
  <si>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</si>
  <si>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</si>
  <si>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</si>
  <si>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</si>
  <si>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</si>
  <si>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</si>
  <si>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</si>
  <si>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</si>
  <si>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</si>
  <si>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</si>
  <si>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</si>
  <si>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</si>
  <si>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</si>
  <si>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</si>
  <si>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</si>
  <si>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</si>
  <si>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</si>
  <si>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</si>
  <si>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</si>
  <si>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</si>
  <si>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</si>
  <si>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</si>
  <si>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</si>
  <si>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</si>
  <si>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</si>
  <si>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</si>
  <si>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</si>
  <si>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</si>
  <si>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</si>
  <si>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</si>
  <si>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</si>
  <si>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</si>
  <si>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</si>
  <si>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</si>
  <si>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</si>
  <si>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</si>
  <si>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</si>
  <si>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</si>
  <si>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</si>
  <si>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</si>
  <si>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</si>
  <si>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</si>
  <si>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</si>
  <si>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</si>
  <si>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</si>
  <si>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</si>
  <si>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</si>
  <si>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</si>
  <si>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</si>
  <si>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</si>
  <si>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</si>
  <si>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</si>
  <si>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</si>
  <si>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</si>
  <si>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</si>
  <si>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</si>
  <si>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</si>
  <si>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</si>
  <si>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</si>
  <si>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</si>
  <si>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</si>
  <si>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</si>
  <si>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</si>
  <si>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</si>
  <si>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</si>
  <si>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</si>
  <si>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</si>
  <si>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</si>
  <si>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</si>
  <si>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</si>
  <si>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</si>
  <si>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</si>
  <si>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</si>
  <si>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</si>
  <si>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</si>
  <si>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</si>
  <si>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</si>
  <si>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</si>
  <si>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</si>
  <si>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</si>
  <si>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</si>
  <si>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</si>
  <si>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</si>
  <si>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</si>
  <si>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</si>
  <si>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</si>
  <si>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</si>
  <si>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</si>
  <si>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</si>
  <si>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</si>
  <si>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</si>
  <si>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</si>
  <si>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</si>
  <si>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</si>
  <si>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</si>
  <si>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</si>
  <si>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</si>
  <si>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</si>
  <si>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</si>
  <si>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</si>
  <si>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</si>
  <si>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</si>
  <si>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</si>
  <si>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</si>
  <si>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</si>
  <si>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</si>
  <si>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</si>
  <si>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</si>
  <si>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</si>
  <si>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</si>
  <si>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</si>
  <si>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</si>
  <si>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</si>
  <si>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</si>
  <si>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</si>
  <si>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</si>
  <si>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</si>
  <si>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</si>
  <si>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</si>
  <si>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</si>
  <si>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</si>
  <si>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</si>
  <si>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</si>
  <si>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</si>
  <si>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</si>
  <si>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</si>
  <si>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</si>
  <si>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</si>
  <si>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</si>
  <si>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</si>
  <si>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</si>
  <si>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</si>
  <si>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</si>
  <si>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</si>
  <si>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</si>
  <si>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</si>
  <si>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</si>
  <si>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</si>
  <si>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</si>
  <si>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</si>
  <si>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</si>
  <si>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</si>
  <si>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</si>
  <si>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</si>
  <si>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</si>
  <si>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</si>
  <si>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</si>
  <si>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</si>
  <si>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</si>
  <si>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</si>
  <si>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</si>
  <si>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</si>
  <si>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</si>
  <si>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</si>
  <si>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</si>
  <si>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</si>
  <si>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</si>
  <si>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</si>
  <si>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</si>
  <si>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</si>
  <si>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</si>
  <si>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</si>
  <si>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</si>
  <si>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</si>
  <si>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</si>
  <si>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</si>
  <si>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</si>
  <si>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</si>
  <si>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</si>
  <si>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</si>
  <si>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</si>
  <si>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</si>
  <si>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</si>
  <si>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</si>
  <si>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</si>
  <si>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</si>
  <si>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</si>
  <si>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</si>
  <si>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</si>
  <si>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</si>
  <si>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</si>
  <si>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</si>
  <si>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</si>
  <si>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</si>
  <si>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</si>
  <si>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</si>
  <si>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</si>
  <si>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</si>
  <si>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</si>
  <si>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</si>
  <si>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</si>
  <si>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</si>
  <si>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</si>
  <si>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</si>
  <si>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</si>
  <si>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</si>
  <si>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</si>
  <si>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</si>
  <si>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</si>
  <si>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</si>
  <si>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</si>
  <si>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</si>
  <si>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</si>
  <si>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</si>
  <si>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</si>
  <si>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</si>
  <si>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</si>
  <si>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</si>
  <si>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</si>
  <si>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</si>
  <si>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</si>
  <si>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</si>
  <si>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</si>
  <si>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</si>
  <si>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</si>
  <si>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</si>
  <si>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</si>
  <si>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</si>
  <si>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</si>
  <si>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</si>
  <si>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</si>
  <si>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</si>
  <si>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</si>
  <si>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</si>
  <si>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</si>
  <si>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</si>
  <si>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</si>
  <si>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</si>
  <si>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</si>
  <si>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</si>
  <si>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</si>
  <si>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</si>
  <si>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</si>
  <si>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</si>
  <si>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</si>
  <si>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</si>
  <si>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</si>
  <si>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</si>
  <si>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</si>
  <si>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</si>
  <si>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</si>
  <si>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</si>
  <si>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</si>
  <si>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</si>
  <si>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</si>
  <si>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</si>
  <si>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</si>
  <si>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</si>
  <si>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</si>
  <si>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</si>
  <si>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</si>
  <si>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</si>
  <si>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</si>
  <si>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</si>
  <si>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</si>
  <si>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</si>
  <si>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</si>
  <si>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</si>
  <si>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</si>
  <si>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</si>
  <si>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</si>
  <si>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</si>
  <si>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</si>
  <si>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</si>
  <si>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</si>
  <si>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</si>
  <si>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</si>
  <si>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</si>
  <si>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</si>
  <si>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</si>
  <si>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</si>
  <si>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</si>
  <si>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</si>
  <si>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</si>
  <si>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</si>
  <si>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</si>
  <si>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</si>
  <si>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</si>
  <si>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</si>
  <si>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</si>
  <si>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</si>
  <si>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</si>
  <si>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</si>
  <si>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</si>
  <si>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</si>
  <si>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</si>
  <si>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</si>
  <si>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</si>
  <si>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</si>
  <si>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</si>
  <si>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</si>
  <si>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</si>
  <si>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</si>
  <si>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</si>
  <si>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</si>
  <si>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</si>
  <si>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</si>
  <si>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</si>
  <si>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</si>
  <si>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</si>
  <si>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</si>
  <si>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</si>
  <si>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</si>
  <si>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</si>
  <si>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</si>
  <si>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</si>
  <si>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</si>
  <si>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</si>
  <si>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</si>
  <si>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</si>
  <si>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</si>
  <si>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</si>
  <si>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</si>
  <si>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</si>
  <si>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</si>
  <si>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</si>
  <si>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</si>
  <si>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</si>
  <si>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</si>
  <si>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</si>
  <si>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</si>
  <si>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</si>
  <si>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</si>
  <si>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</si>
  <si>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</si>
  <si>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</si>
  <si>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</si>
  <si>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</si>
  <si>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</si>
  <si>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</si>
  <si>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</si>
  <si>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</si>
  <si>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</si>
  <si>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</si>
  <si>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</si>
  <si>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</si>
  <si>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</si>
  <si>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</si>
  <si>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</si>
  <si>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</si>
  <si>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</si>
  <si>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</si>
  <si>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</si>
  <si>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</si>
  <si>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</si>
  <si>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</si>
  <si>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</si>
  <si>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</si>
  <si>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</si>
  <si>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</si>
  <si>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</si>
  <si>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</si>
  <si>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</si>
  <si>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</si>
  <si>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</si>
  <si>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</si>
  <si>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</si>
  <si>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</si>
  <si>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</si>
  <si>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</si>
  <si>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</si>
  <si>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</si>
  <si>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</si>
  <si>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</si>
  <si>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</si>
  <si>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</si>
  <si>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</si>
  <si>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</si>
  <si>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</si>
  <si>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</si>
  <si>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</si>
  <si>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</si>
  <si>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</si>
  <si>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</si>
  <si>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</si>
  <si>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</si>
  <si>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</si>
  <si>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</si>
  <si>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</si>
  <si>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</si>
  <si>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</si>
  <si>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</si>
  <si>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</si>
  <si>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</si>
  <si>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</si>
  <si>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</si>
  <si>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</si>
  <si>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</si>
  <si>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</si>
  <si>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</si>
  <si>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</si>
  <si>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</si>
  <si>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</si>
  <si>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</si>
  <si>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</si>
  <si>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</si>
  <si>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</si>
  <si>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</si>
  <si>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</si>
  <si>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</si>
  <si>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</si>
  <si>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</si>
  <si>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</si>
  <si>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</si>
  <si>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</si>
  <si>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</si>
  <si>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</si>
  <si>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</si>
  <si>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</si>
  <si>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</si>
  <si>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</si>
  <si>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</si>
  <si>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</si>
  <si>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</si>
  <si>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</si>
  <si>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</si>
  <si>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</si>
  <si>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</si>
  <si>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</si>
  <si>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</si>
  <si>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</si>
  <si>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</si>
  <si>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</si>
  <si>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</si>
  <si>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</si>
  <si>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</si>
  <si>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</si>
  <si>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</si>
  <si>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</si>
  <si>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</si>
  <si>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</si>
  <si>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</si>
  <si>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</si>
  <si>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</si>
  <si>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</si>
  <si>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</si>
  <si>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</si>
  <si>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</si>
  <si>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</si>
  <si>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</si>
  <si>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</si>
  <si>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</si>
  <si>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</si>
  <si>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</si>
  <si>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</si>
  <si>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</si>
  <si>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</si>
  <si>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</si>
  <si>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</si>
  <si>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</si>
  <si>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</si>
  <si>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</si>
  <si>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</si>
  <si>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</si>
  <si>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</si>
  <si>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</si>
  <si>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</si>
  <si>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</si>
  <si>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</si>
  <si>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</si>
  <si>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</si>
  <si>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</si>
  <si>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</si>
  <si>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</si>
  <si>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</si>
  <si>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</si>
  <si>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</si>
  <si>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</si>
  <si>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</si>
  <si>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</si>
  <si>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</si>
  <si>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</si>
  <si>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</si>
  <si>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</si>
  <si>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</si>
  <si>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</si>
  <si>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</si>
  <si>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</si>
  <si>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</si>
  <si>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</si>
  <si>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</si>
  <si>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</si>
  <si>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</si>
  <si>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</si>
  <si>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</si>
  <si>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</si>
  <si>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</si>
  <si>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</si>
  <si>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</si>
  <si>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</si>
  <si>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</si>
  <si>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</si>
  <si>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</si>
  <si>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</si>
  <si>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</si>
  <si>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</si>
  <si>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</si>
  <si>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</si>
  <si>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</si>
  <si>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</si>
  <si>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</si>
  <si>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</si>
  <si>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</si>
  <si>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</si>
  <si>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</si>
  <si>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</si>
  <si>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</si>
  <si>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</si>
  <si>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</si>
  <si>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</si>
  <si>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</si>
  <si>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</si>
  <si>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</si>
  <si>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</si>
  <si>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</si>
  <si>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</si>
  <si>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</si>
  <si>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</si>
  <si>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</si>
  <si>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</si>
  <si>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</si>
  <si>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</si>
  <si>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</si>
  <si>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</si>
  <si>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</si>
  <si>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</si>
  <si>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</si>
  <si>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</si>
  <si>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</si>
  <si>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</si>
  <si>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</si>
  <si>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</si>
  <si>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</si>
  <si>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</si>
  <si>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</si>
  <si>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</si>
  <si>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</si>
  <si>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</si>
  <si>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</si>
  <si>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</si>
  <si>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</si>
  <si>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</si>
  <si>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</si>
  <si>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</si>
  <si>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</si>
  <si>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</si>
  <si>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</si>
  <si>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</si>
  <si>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</si>
  <si>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</si>
  <si>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</si>
  <si>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</si>
  <si>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</si>
  <si>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</si>
  <si>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</si>
  <si>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</si>
  <si>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</si>
  <si>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</si>
  <si>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</si>
  <si>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</si>
  <si>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</si>
  <si>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</si>
  <si>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</si>
  <si>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</si>
  <si>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</si>
  <si>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</si>
  <si>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</si>
  <si>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</si>
  <si>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</si>
  <si>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</si>
  <si>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</si>
  <si>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</si>
  <si>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</si>
  <si>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</si>
  <si>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</si>
  <si>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</si>
  <si>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</si>
  <si>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</si>
  <si>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</si>
  <si>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</si>
  <si>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</si>
  <si>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</si>
  <si>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</si>
  <si>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</si>
  <si>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</si>
  <si>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</si>
  <si>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</si>
  <si>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</si>
  <si>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</si>
  <si>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</si>
  <si>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</si>
  <si>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</si>
  <si>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</si>
  <si>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</si>
  <si>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</si>
  <si>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</si>
  <si>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</si>
  <si>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</si>
  <si>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</si>
  <si>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</si>
  <si>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</si>
  <si>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</si>
  <si>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</si>
  <si>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</si>
  <si>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</si>
  <si>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</si>
  <si>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</si>
  <si>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</si>
  <si>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</si>
  <si>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</si>
  <si>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</si>
  <si>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</si>
  <si>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</si>
  <si>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</si>
  <si>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</si>
  <si>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</si>
  <si>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</si>
  <si>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</si>
  <si>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</si>
  <si>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</si>
  <si>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</si>
  <si>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</si>
  <si>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</si>
  <si>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</si>
  <si>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</si>
  <si>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</si>
  <si>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</si>
  <si>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</si>
  <si>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</si>
  <si>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</si>
  <si>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</si>
  <si>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</si>
  <si>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</si>
  <si>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</si>
  <si>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</si>
  <si>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</si>
  <si>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</si>
  <si>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</si>
  <si>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</si>
  <si>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</si>
  <si>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</si>
  <si>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</si>
  <si>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</si>
  <si>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</si>
  <si>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</si>
  <si>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</si>
  <si>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</si>
  <si>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</si>
  <si>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</si>
  <si>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</si>
  <si>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</si>
  <si>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</si>
  <si>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</si>
  <si>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</si>
  <si>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</si>
  <si>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</si>
  <si>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</si>
  <si>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</si>
  <si>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</si>
  <si>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</si>
  <si>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</si>
  <si>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</si>
  <si>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</si>
  <si>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</si>
  <si>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</si>
  <si>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</si>
  <si>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</si>
  <si>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BUDINŠČINA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</si>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</sst>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2">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37" fillId="0" borderId="0" xfId="0" applyFont="1" applyBorder="1">
      <alignment vertical="top"/>
      <protection locked="0"/>
    </xf>
    <xf numFmtId="0" fontId="0" fillId="0" borderId="0" xfId="0" applyBorder="1">
      <alignment vertical="top"/>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1412220.7099999997</v>
      </c>
      <c r="D2" s="7">
        <f>'PR-RAS'!E6</f>
        <v>1596525.8199999998</v>
      </c>
      <c r="E2" s="7">
        <v>0</v>
      </c>
      <c r="F2" s="7">
        <v>0</v>
      </c>
      <c r="G2" s="8">
        <f t="shared" ref="G2:G274" si="0">(B2/1000)*(C2*1+D2*2)</f>
        <v>4605.2723499999993</v>
      </c>
      <c r="H2" s="8">
        <f t="shared" ref="H2:H274" si="1">ABS(C2-ROUND(C2,0))+ABS(D2-ROUND(D2,0))</f>
        <v>0.47000000043772161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790402.10999999987</v>
      </c>
      <c r="D3" s="2">
        <f>'PR-RAS'!E7</f>
        <v>835625.94999999984</v>
      </c>
      <c r="E3" s="2">
        <v>0</v>
      </c>
      <c r="F3" s="2">
        <v>0</v>
      </c>
      <c r="G3" s="3">
        <f t="shared" si="0"/>
        <v>4923.3080199999995</v>
      </c>
      <c r="H3" s="3">
        <f t="shared" si="1"/>
        <v>0.16000000003259629</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766247.36999999988</v>
      </c>
      <c r="D4" s="2">
        <f>'PR-RAS'!E8</f>
        <v>822403.74999999988</v>
      </c>
      <c r="E4" s="2">
        <v>0</v>
      </c>
      <c r="F4" s="2">
        <v>0</v>
      </c>
      <c r="G4" s="3">
        <f t="shared" si="0"/>
        <v>7233.1646099999989</v>
      </c>
      <c r="H4" s="3">
        <f t="shared" si="1"/>
        <v>0.61999999999534339</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802720.6</v>
      </c>
      <c r="D5" s="2">
        <f>'PR-RAS'!E9</f>
        <v>917891.6</v>
      </c>
      <c r="E5" s="2">
        <v>0</v>
      </c>
      <c r="F5" s="2">
        <v>0</v>
      </c>
      <c r="G5" s="3">
        <f t="shared" si="0"/>
        <v>10554.0152</v>
      </c>
      <c r="H5" s="3">
        <f t="shared" si="1"/>
        <v>0.80000000004656613</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23928.47</v>
      </c>
      <c r="D6" s="2">
        <f>'PR-RAS'!E10</f>
        <v>19507.259999999998</v>
      </c>
      <c r="E6" s="2">
        <v>0</v>
      </c>
      <c r="F6" s="2">
        <v>0</v>
      </c>
      <c r="G6" s="3">
        <f t="shared" si="0"/>
        <v>314.71494999999999</v>
      </c>
      <c r="H6" s="3">
        <f t="shared" si="1"/>
        <v>0.72999999999956344</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16470.18</v>
      </c>
      <c r="D7" s="2">
        <f>'PR-RAS'!E11</f>
        <v>14230.75</v>
      </c>
      <c r="E7" s="2">
        <v>0</v>
      </c>
      <c r="F7" s="2">
        <v>0</v>
      </c>
      <c r="G7" s="3">
        <f t="shared" si="0"/>
        <v>269.59008</v>
      </c>
      <c r="H7" s="3">
        <f t="shared" si="1"/>
        <v>0.43000000000029104</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38552.94</v>
      </c>
      <c r="D8" s="2">
        <f>'PR-RAS'!E12</f>
        <v>52892.06</v>
      </c>
      <c r="E8" s="2">
        <v>0</v>
      </c>
      <c r="F8" s="2">
        <v>0</v>
      </c>
      <c r="G8" s="3">
        <f t="shared" si="0"/>
        <v>1010.35942</v>
      </c>
      <c r="H8" s="3">
        <f t="shared" si="1"/>
        <v>0.11999999999534339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115424.82</v>
      </c>
      <c r="D11" s="2">
        <f>'PR-RAS'!E15</f>
        <v>182117.92</v>
      </c>
      <c r="E11" s="2">
        <v>0</v>
      </c>
      <c r="F11" s="2">
        <v>0</v>
      </c>
      <c r="G11" s="3">
        <f t="shared" si="0"/>
        <v>4796.6066000000001</v>
      </c>
      <c r="H11" s="3">
        <f t="shared" si="1"/>
        <v>0.2599999999802094</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21213.08</v>
      </c>
      <c r="D19" s="2">
        <f>'PR-RAS'!E23</f>
        <v>9571.73</v>
      </c>
      <c r="E19" s="2">
        <v>0</v>
      </c>
      <c r="F19" s="2">
        <v>0</v>
      </c>
      <c r="G19" s="3">
        <f t="shared" si="0"/>
        <v>726.41771999999992</v>
      </c>
      <c r="H19" s="3">
        <f t="shared" si="1"/>
        <v>0.35000000000218279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7082.66</v>
      </c>
      <c r="D20" s="2">
        <f>'PR-RAS'!E24</f>
        <v>313.18</v>
      </c>
      <c r="E20" s="2">
        <v>0</v>
      </c>
      <c r="F20" s="2">
        <v>0</v>
      </c>
      <c r="G20" s="3">
        <f t="shared" si="0"/>
        <v>146.47137999999998</v>
      </c>
      <c r="H20" s="3">
        <f t="shared" si="1"/>
        <v>0.52000000000015234</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14130.42</v>
      </c>
      <c r="D23" s="2">
        <f>'PR-RAS'!E27</f>
        <v>9258.5499999999993</v>
      </c>
      <c r="E23" s="2">
        <v>0</v>
      </c>
      <c r="F23" s="2">
        <v>0</v>
      </c>
      <c r="G23" s="3">
        <f t="shared" si="0"/>
        <v>718.24543999999992</v>
      </c>
      <c r="H23" s="3">
        <f t="shared" si="1"/>
        <v>0.87000000000080036</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2941.66</v>
      </c>
      <c r="D25" s="2">
        <f>'PR-RAS'!E29</f>
        <v>3650.47</v>
      </c>
      <c r="E25" s="2">
        <v>0</v>
      </c>
      <c r="F25" s="2">
        <v>0</v>
      </c>
      <c r="G25" s="3">
        <f t="shared" si="0"/>
        <v>245.82239999999996</v>
      </c>
      <c r="H25" s="3">
        <f t="shared" si="1"/>
        <v>0.80999999999994543</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2941.66</v>
      </c>
      <c r="D27" s="2">
        <f>'PR-RAS'!E31</f>
        <v>3650.47</v>
      </c>
      <c r="E27" s="2">
        <v>0</v>
      </c>
      <c r="F27" s="2">
        <v>0</v>
      </c>
      <c r="G27" s="3">
        <f t="shared" si="0"/>
        <v>266.30759999999992</v>
      </c>
      <c r="H27" s="3">
        <f t="shared" si="1"/>
        <v>0.80999999999994543</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517905.23</v>
      </c>
      <c r="D45" s="2">
        <f>'PR-RAS'!E49</f>
        <v>696766.46</v>
      </c>
      <c r="E45" s="2">
        <v>0</v>
      </c>
      <c r="F45" s="2">
        <v>0</v>
      </c>
      <c r="G45" s="3">
        <f t="shared" si="0"/>
        <v>84103.278599999991</v>
      </c>
      <c r="H45" s="3">
        <f t="shared" si="1"/>
        <v>0.68999999994412065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60519.77</v>
      </c>
      <c r="E49" s="2">
        <v>0</v>
      </c>
      <c r="F49" s="2">
        <v>0</v>
      </c>
      <c r="G49" s="3">
        <f t="shared" si="0"/>
        <v>5809.8979199999994</v>
      </c>
      <c r="H49" s="3">
        <f t="shared" si="1"/>
        <v>0.23000000000320142</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60519.77</v>
      </c>
      <c r="E53" s="2">
        <v>0</v>
      </c>
      <c r="F53" s="2">
        <v>0</v>
      </c>
      <c r="G53" s="3">
        <f t="shared" si="0"/>
        <v>6294.0560799999994</v>
      </c>
      <c r="H53" s="3">
        <f t="shared" si="1"/>
        <v>0.23000000000320142</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457128.39</v>
      </c>
      <c r="D54" s="2">
        <f>'PR-RAS'!E58</f>
        <v>179555.12</v>
      </c>
      <c r="E54" s="2">
        <v>0</v>
      </c>
      <c r="F54" s="2">
        <v>0</v>
      </c>
      <c r="G54" s="3">
        <f t="shared" si="0"/>
        <v>43260.647389999998</v>
      </c>
      <c r="H54" s="3">
        <f t="shared" si="1"/>
        <v>0.51000000000931323</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388866.9</v>
      </c>
      <c r="D55" s="2">
        <f>'PR-RAS'!E59</f>
        <v>8155.12</v>
      </c>
      <c r="E55" s="2">
        <v>0</v>
      </c>
      <c r="F55" s="2">
        <v>0</v>
      </c>
      <c r="G55" s="3">
        <f t="shared" si="0"/>
        <v>21879.565559999999</v>
      </c>
      <c r="H55" s="3">
        <f t="shared" si="1"/>
        <v>0.2199999999766078</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68261.490000000005</v>
      </c>
      <c r="D56" s="2">
        <f>'PR-RAS'!E60</f>
        <v>171400</v>
      </c>
      <c r="E56" s="2">
        <v>0</v>
      </c>
      <c r="F56" s="2">
        <v>0</v>
      </c>
      <c r="G56" s="3">
        <f t="shared" si="0"/>
        <v>22608.381949999999</v>
      </c>
      <c r="H56" s="3">
        <f t="shared" si="1"/>
        <v>0.49000000000523869</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60776.84</v>
      </c>
      <c r="D57" s="2">
        <f>'PR-RAS'!E61</f>
        <v>46413.68</v>
      </c>
      <c r="E57" s="2">
        <v>0</v>
      </c>
      <c r="F57" s="2">
        <v>0</v>
      </c>
      <c r="G57" s="3">
        <f t="shared" si="0"/>
        <v>8601.8352000000014</v>
      </c>
      <c r="H57" s="3">
        <f t="shared" si="1"/>
        <v>0.48000000000320142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47076.06</v>
      </c>
      <c r="D58" s="2">
        <f>'PR-RAS'!E62</f>
        <v>46413.68</v>
      </c>
      <c r="E58" s="2">
        <v>0</v>
      </c>
      <c r="F58" s="2">
        <v>0</v>
      </c>
      <c r="G58" s="3">
        <f t="shared" si="0"/>
        <v>7974.4949399999996</v>
      </c>
      <c r="H58" s="3">
        <f t="shared" si="1"/>
        <v>0.37999999999738066</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13700.78</v>
      </c>
      <c r="D59" s="2">
        <f>'PR-RAS'!E63</f>
        <v>0</v>
      </c>
      <c r="E59" s="2">
        <v>0</v>
      </c>
      <c r="F59" s="2">
        <v>0</v>
      </c>
      <c r="G59" s="3">
        <f t="shared" si="0"/>
        <v>794.64524000000006</v>
      </c>
      <c r="H59" s="3">
        <f t="shared" si="1"/>
        <v>0.21999999999934516</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410277.89</v>
      </c>
      <c r="E60" s="2">
        <v>0</v>
      </c>
      <c r="F60" s="2">
        <v>0</v>
      </c>
      <c r="G60" s="3">
        <f t="shared" si="0"/>
        <v>48412.791019999997</v>
      </c>
      <c r="H60" s="3">
        <f t="shared" si="1"/>
        <v>0.10999999998603016</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410277.89</v>
      </c>
      <c r="E63" s="2">
        <v>0</v>
      </c>
      <c r="F63" s="2">
        <v>0</v>
      </c>
      <c r="G63" s="3">
        <f>(B63/1000)*(C63*1+D63*2)</f>
        <v>50874.458360000004</v>
      </c>
      <c r="H63" s="3">
        <f>ABS(C63-ROUND(C63,0))+ABS(D63-ROUND(D63,0))</f>
        <v>0.10999999998603016</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707.14</v>
      </c>
      <c r="D78" s="2">
        <f>'PR-RAS'!E82</f>
        <v>1509.79</v>
      </c>
      <c r="E78" s="2">
        <v>0</v>
      </c>
      <c r="F78" s="2">
        <v>0</v>
      </c>
      <c r="G78" s="3">
        <f t="shared" si="0"/>
        <v>286.95743999999996</v>
      </c>
      <c r="H78" s="3">
        <f t="shared" si="1"/>
        <v>0.35000000000002274</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373.71000000000004</v>
      </c>
      <c r="D79" s="2">
        <f>'PR-RAS'!E83</f>
        <v>333.15</v>
      </c>
      <c r="E79" s="2">
        <v>0</v>
      </c>
      <c r="F79" s="2">
        <v>0</v>
      </c>
      <c r="G79" s="3">
        <f t="shared" si="0"/>
        <v>81.120779999999996</v>
      </c>
      <c r="H79" s="3">
        <f t="shared" si="1"/>
        <v>0.43999999999994088</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2.17</v>
      </c>
      <c r="D81" s="2">
        <f>'PR-RAS'!E85</f>
        <v>192.32</v>
      </c>
      <c r="E81" s="2">
        <v>0</v>
      </c>
      <c r="F81" s="2">
        <v>0</v>
      </c>
      <c r="G81" s="3">
        <f t="shared" si="0"/>
        <v>30.944800000000001</v>
      </c>
      <c r="H81" s="3">
        <f t="shared" si="1"/>
        <v>0.48999999999999311</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371.54</v>
      </c>
      <c r="D82" s="2">
        <f>'PR-RAS'!E86</f>
        <v>140.83000000000001</v>
      </c>
      <c r="E82" s="2">
        <v>0</v>
      </c>
      <c r="F82" s="2">
        <v>0</v>
      </c>
      <c r="G82" s="3">
        <f t="shared" si="0"/>
        <v>52.909200000000006</v>
      </c>
      <c r="H82" s="3">
        <f t="shared" si="1"/>
        <v>0.62999999999996703</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333.42999999999995</v>
      </c>
      <c r="D87" s="2">
        <f>'PR-RAS'!E91</f>
        <v>1176.6400000000001</v>
      </c>
      <c r="E87" s="2">
        <v>0</v>
      </c>
      <c r="F87" s="2">
        <v>0</v>
      </c>
      <c r="G87" s="3">
        <f t="shared" si="0"/>
        <v>231.05705999999998</v>
      </c>
      <c r="H87" s="3">
        <f t="shared" si="1"/>
        <v>0.78999999999984993</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34.4</v>
      </c>
      <c r="D88" s="2">
        <f>'PR-RAS'!E92</f>
        <v>22.32</v>
      </c>
      <c r="E88" s="2">
        <v>0</v>
      </c>
      <c r="F88" s="2">
        <v>0</v>
      </c>
      <c r="G88" s="3">
        <f t="shared" si="0"/>
        <v>6.876479999999999</v>
      </c>
      <c r="H88" s="3">
        <f t="shared" si="1"/>
        <v>0.71999999999999886</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256</v>
      </c>
      <c r="D89" s="2">
        <f>'PR-RAS'!E93</f>
        <v>768</v>
      </c>
      <c r="E89" s="2">
        <v>0</v>
      </c>
      <c r="F89" s="2">
        <v>0</v>
      </c>
      <c r="G89" s="3">
        <f t="shared" si="0"/>
        <v>157.696</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3.21</v>
      </c>
      <c r="D90" s="2">
        <f>'PR-RAS'!E94</f>
        <v>3.76</v>
      </c>
      <c r="E90" s="2">
        <v>0</v>
      </c>
      <c r="F90" s="2">
        <v>0</v>
      </c>
      <c r="G90" s="3">
        <f t="shared" si="0"/>
        <v>0.95496999999999999</v>
      </c>
      <c r="H90" s="3">
        <f t="shared" si="1"/>
        <v>0.45000000000000018</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39.82</v>
      </c>
      <c r="D93" s="2">
        <f>'PR-RAS'!E97</f>
        <v>382.56</v>
      </c>
      <c r="E93" s="2">
        <v>0</v>
      </c>
      <c r="F93" s="2">
        <v>0</v>
      </c>
      <c r="G93" s="3">
        <f t="shared" si="0"/>
        <v>74.054479999999998</v>
      </c>
      <c r="H93" s="3">
        <f t="shared" si="1"/>
        <v>0.61999999999999744</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75814.17</v>
      </c>
      <c r="D102" s="2">
        <f>'PR-RAS'!E106</f>
        <v>62623.619999999995</v>
      </c>
      <c r="E102" s="2">
        <v>0</v>
      </c>
      <c r="F102" s="2">
        <v>0</v>
      </c>
      <c r="G102" s="3">
        <f t="shared" si="0"/>
        <v>20307.202409999998</v>
      </c>
      <c r="H102" s="3">
        <f t="shared" si="1"/>
        <v>0.55000000000291038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1178.0899999999999</v>
      </c>
      <c r="D103" s="2">
        <f>'PR-RAS'!E107</f>
        <v>1174.6500000000001</v>
      </c>
      <c r="E103" s="2">
        <v>0</v>
      </c>
      <c r="F103" s="2">
        <v>0</v>
      </c>
      <c r="G103" s="3">
        <f t="shared" si="0"/>
        <v>359.79378000000003</v>
      </c>
      <c r="H103" s="3">
        <f t="shared" si="1"/>
        <v>0.4399999999998272</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167.22</v>
      </c>
      <c r="D105" s="2">
        <f>'PR-RAS'!E109</f>
        <v>176.51</v>
      </c>
      <c r="E105" s="2">
        <v>0</v>
      </c>
      <c r="F105" s="2">
        <v>0</v>
      </c>
      <c r="G105" s="3">
        <f t="shared" si="0"/>
        <v>54.104959999999998</v>
      </c>
      <c r="H105" s="3">
        <f t="shared" si="1"/>
        <v>0.71000000000000796</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1010.87</v>
      </c>
      <c r="D107" s="2">
        <f>'PR-RAS'!E111</f>
        <v>998.14</v>
      </c>
      <c r="E107" s="2">
        <v>0</v>
      </c>
      <c r="F107" s="2">
        <v>0</v>
      </c>
      <c r="G107" s="3">
        <f t="shared" si="0"/>
        <v>318.75790000000001</v>
      </c>
      <c r="H107" s="3">
        <f t="shared" si="1"/>
        <v>0.26999999999998181</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21802.73</v>
      </c>
      <c r="D108" s="2">
        <f>'PR-RAS'!E112</f>
        <v>9856.7199999999993</v>
      </c>
      <c r="E108" s="2">
        <v>0</v>
      </c>
      <c r="F108" s="2">
        <v>0</v>
      </c>
      <c r="G108" s="3">
        <f t="shared" si="0"/>
        <v>4442.2301899999993</v>
      </c>
      <c r="H108" s="3">
        <f t="shared" si="1"/>
        <v>0.55000000000109139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162.31</v>
      </c>
      <c r="D110" s="2">
        <f>'PR-RAS'!E114</f>
        <v>0</v>
      </c>
      <c r="E110" s="2">
        <v>0</v>
      </c>
      <c r="F110" s="2">
        <v>0</v>
      </c>
      <c r="G110" s="3">
        <f t="shared" si="0"/>
        <v>17.691790000000001</v>
      </c>
      <c r="H110" s="3">
        <f t="shared" si="1"/>
        <v>0.31000000000000227</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12716.27</v>
      </c>
      <c r="D111" s="2">
        <f>'PR-RAS'!E115</f>
        <v>7654.48</v>
      </c>
      <c r="E111" s="2">
        <v>0</v>
      </c>
      <c r="F111" s="2">
        <v>0</v>
      </c>
      <c r="G111" s="3">
        <f t="shared" si="0"/>
        <v>3082.7752999999998</v>
      </c>
      <c r="H111" s="3">
        <f t="shared" si="1"/>
        <v>0.75</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8924.15</v>
      </c>
      <c r="D113" s="2">
        <f>'PR-RAS'!E117</f>
        <v>2202.2399999999998</v>
      </c>
      <c r="E113" s="2">
        <v>0</v>
      </c>
      <c r="F113" s="2">
        <v>0</v>
      </c>
      <c r="G113" s="3">
        <f t="shared" si="0"/>
        <v>1492.80656</v>
      </c>
      <c r="H113" s="3">
        <f t="shared" si="1"/>
        <v>0.38999999999941792</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52833.35</v>
      </c>
      <c r="D116" s="2">
        <f>'PR-RAS'!E120</f>
        <v>51592.25</v>
      </c>
      <c r="E116" s="2">
        <v>0</v>
      </c>
      <c r="F116" s="2">
        <v>0</v>
      </c>
      <c r="G116" s="3">
        <f t="shared" si="0"/>
        <v>17942.052750000003</v>
      </c>
      <c r="H116" s="3">
        <f t="shared" si="1"/>
        <v>0.59999999999854481</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52833.35</v>
      </c>
      <c r="D118" s="2">
        <f>'PR-RAS'!E122</f>
        <v>51592.25</v>
      </c>
      <c r="E118" s="2">
        <v>0</v>
      </c>
      <c r="F118" s="2">
        <v>0</v>
      </c>
      <c r="G118" s="3">
        <f t="shared" si="0"/>
        <v>18254.088450000003</v>
      </c>
      <c r="H118" s="3">
        <f t="shared" si="1"/>
        <v>0.59999999999854481</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25892.06</v>
      </c>
      <c r="D121" s="2">
        <f>'PR-RAS'!E125</f>
        <v>0</v>
      </c>
      <c r="E121" s="2">
        <v>0</v>
      </c>
      <c r="F121" s="2">
        <v>0</v>
      </c>
      <c r="G121" s="3">
        <f t="shared" si="0"/>
        <v>3107.0472</v>
      </c>
      <c r="H121" s="3">
        <f t="shared" si="1"/>
        <v>6.0000000001309672E-2</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25892.06</v>
      </c>
      <c r="D125" s="2">
        <f>'PR-RAS'!E129</f>
        <v>0</v>
      </c>
      <c r="E125" s="2">
        <v>0</v>
      </c>
      <c r="F125" s="2">
        <v>0</v>
      </c>
      <c r="G125" s="3">
        <f t="shared" si="0"/>
        <v>3210.61544</v>
      </c>
      <c r="H125" s="3">
        <f t="shared" si="1"/>
        <v>6.0000000001309672E-2</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25892.06</v>
      </c>
      <c r="D126" s="2">
        <f>'PR-RAS'!E130</f>
        <v>0</v>
      </c>
      <c r="E126" s="2">
        <v>0</v>
      </c>
      <c r="F126" s="2">
        <v>0</v>
      </c>
      <c r="G126" s="3">
        <f t="shared" si="0"/>
        <v>3236.5075000000002</v>
      </c>
      <c r="H126" s="3">
        <f t="shared" si="1"/>
        <v>6.0000000001309672E-2</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1500</v>
      </c>
      <c r="D136" s="2">
        <f>'PR-RAS'!E140</f>
        <v>0</v>
      </c>
      <c r="E136" s="2">
        <v>0</v>
      </c>
      <c r="F136" s="2">
        <v>0</v>
      </c>
      <c r="G136" s="3">
        <f t="shared" si="0"/>
        <v>202.5</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1500</v>
      </c>
      <c r="D137" s="2">
        <f>'PR-RAS'!E141</f>
        <v>0</v>
      </c>
      <c r="E137" s="2">
        <v>0</v>
      </c>
      <c r="F137" s="2">
        <v>0</v>
      </c>
      <c r="G137" s="3">
        <f t="shared" si="0"/>
        <v>204.00000000000003</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1500</v>
      </c>
      <c r="D146" s="2">
        <f>'PR-RAS'!E150</f>
        <v>0</v>
      </c>
      <c r="E146" s="2">
        <v>0</v>
      </c>
      <c r="F146" s="2">
        <v>0</v>
      </c>
      <c r="G146" s="3">
        <f t="shared" si="0"/>
        <v>217.49999999999997</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1224679.26</v>
      </c>
      <c r="D148" s="2">
        <f>'PR-RAS'!E152</f>
        <v>1261800.2300000002</v>
      </c>
      <c r="E148" s="2">
        <v>0</v>
      </c>
      <c r="F148" s="2">
        <v>0</v>
      </c>
      <c r="G148" s="3">
        <f t="shared" si="0"/>
        <v>550997.11884000001</v>
      </c>
      <c r="H148" s="3">
        <f t="shared" si="1"/>
        <v>0.49000000022351742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136063.91999999998</v>
      </c>
      <c r="D149" s="2">
        <f>'PR-RAS'!E153</f>
        <v>184225.7</v>
      </c>
      <c r="E149" s="2">
        <v>0</v>
      </c>
      <c r="F149" s="2">
        <v>0</v>
      </c>
      <c r="G149" s="3">
        <f t="shared" si="0"/>
        <v>74668.267359999998</v>
      </c>
      <c r="H149" s="3">
        <f t="shared" si="1"/>
        <v>0.38000000000465661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105190.34</v>
      </c>
      <c r="D150" s="2">
        <f>'PR-RAS'!E154</f>
        <v>124906.41</v>
      </c>
      <c r="E150" s="2">
        <v>0</v>
      </c>
      <c r="F150" s="2">
        <v>0</v>
      </c>
      <c r="G150" s="3">
        <f t="shared" si="0"/>
        <v>52895.470840000002</v>
      </c>
      <c r="H150" s="3">
        <f t="shared" si="1"/>
        <v>0.75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105190.34</v>
      </c>
      <c r="D151" s="2">
        <f>'PR-RAS'!E155</f>
        <v>124906.41</v>
      </c>
      <c r="E151" s="2">
        <v>0</v>
      </c>
      <c r="F151" s="2">
        <v>0</v>
      </c>
      <c r="G151" s="3">
        <f t="shared" si="0"/>
        <v>53250.474000000002</v>
      </c>
      <c r="H151" s="3">
        <f t="shared" si="1"/>
        <v>0.75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17330</v>
      </c>
      <c r="D155" s="2">
        <f>'PR-RAS'!E159</f>
        <v>40075.69</v>
      </c>
      <c r="E155" s="2">
        <v>0</v>
      </c>
      <c r="F155" s="2">
        <v>0</v>
      </c>
      <c r="G155" s="3">
        <f t="shared" si="0"/>
        <v>15012.132520000001</v>
      </c>
      <c r="H155" s="3">
        <f t="shared" si="1"/>
        <v>0.30999999999767169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13543.58</v>
      </c>
      <c r="D156" s="2">
        <f>'PR-RAS'!E160</f>
        <v>19243.599999999999</v>
      </c>
      <c r="E156" s="2">
        <v>0</v>
      </c>
      <c r="F156" s="2">
        <v>0</v>
      </c>
      <c r="G156" s="3">
        <f t="shared" si="0"/>
        <v>8064.7708999999995</v>
      </c>
      <c r="H156" s="3">
        <f t="shared" si="1"/>
        <v>0.82000000000152795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13543.58</v>
      </c>
      <c r="D158" s="2">
        <f>'PR-RAS'!E162</f>
        <v>19243.599999999999</v>
      </c>
      <c r="E158" s="2">
        <v>0</v>
      </c>
      <c r="F158" s="2">
        <v>0</v>
      </c>
      <c r="G158" s="3">
        <f t="shared" si="0"/>
        <v>8168.8324599999996</v>
      </c>
      <c r="H158" s="3">
        <f t="shared" si="1"/>
        <v>0.82000000000152795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425715.87</v>
      </c>
      <c r="D160" s="2">
        <f>'PR-RAS'!E164</f>
        <v>360092.41000000003</v>
      </c>
      <c r="E160" s="2">
        <v>0</v>
      </c>
      <c r="F160" s="2">
        <v>0</v>
      </c>
      <c r="G160" s="3">
        <f t="shared" si="0"/>
        <v>182198.20971</v>
      </c>
      <c r="H160" s="3">
        <f t="shared" si="1"/>
        <v>0.5400000000372529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2976.1</v>
      </c>
      <c r="D161" s="2">
        <f>'PR-RAS'!E165</f>
        <v>7631.08</v>
      </c>
      <c r="E161" s="2">
        <v>0</v>
      </c>
      <c r="F161" s="2">
        <v>0</v>
      </c>
      <c r="G161" s="3">
        <f t="shared" si="0"/>
        <v>2918.1215999999999</v>
      </c>
      <c r="H161" s="3">
        <f t="shared" si="1"/>
        <v>0.17999999999983629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15</v>
      </c>
      <c r="D162" s="2">
        <f>'PR-RAS'!E166</f>
        <v>300</v>
      </c>
      <c r="E162" s="2">
        <v>0</v>
      </c>
      <c r="F162" s="2">
        <v>0</v>
      </c>
      <c r="G162" s="3">
        <f t="shared" si="0"/>
        <v>99.015000000000001</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2073.06</v>
      </c>
      <c r="D163" s="2">
        <f>'PR-RAS'!E167</f>
        <v>3635.36</v>
      </c>
      <c r="E163" s="2">
        <v>0</v>
      </c>
      <c r="F163" s="2">
        <v>0</v>
      </c>
      <c r="G163" s="3">
        <f t="shared" si="0"/>
        <v>1513.6923600000002</v>
      </c>
      <c r="H163" s="3">
        <f t="shared" si="1"/>
        <v>0.42000000000007276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136.54</v>
      </c>
      <c r="D164" s="2">
        <f>'PR-RAS'!E168</f>
        <v>1208.72</v>
      </c>
      <c r="E164" s="2">
        <v>0</v>
      </c>
      <c r="F164" s="2">
        <v>0</v>
      </c>
      <c r="G164" s="3">
        <f t="shared" si="0"/>
        <v>416.29874000000001</v>
      </c>
      <c r="H164" s="3">
        <f t="shared" si="1"/>
        <v>0.73999999999998067</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751.5</v>
      </c>
      <c r="D165" s="2">
        <f>'PR-RAS'!E169</f>
        <v>2487</v>
      </c>
      <c r="E165" s="2">
        <v>0</v>
      </c>
      <c r="F165" s="2">
        <v>0</v>
      </c>
      <c r="G165" s="3">
        <f t="shared" si="0"/>
        <v>938.98200000000008</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46321.48</v>
      </c>
      <c r="D166" s="2">
        <f>'PR-RAS'!E170</f>
        <v>44468.49</v>
      </c>
      <c r="E166" s="2">
        <v>0</v>
      </c>
      <c r="F166" s="2">
        <v>0</v>
      </c>
      <c r="G166" s="3">
        <f t="shared" si="0"/>
        <v>22317.6459</v>
      </c>
      <c r="H166" s="3">
        <f t="shared" si="1"/>
        <v>0.97000000000116415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7304.73</v>
      </c>
      <c r="D167" s="2">
        <f>'PR-RAS'!E171</f>
        <v>4111.04</v>
      </c>
      <c r="E167" s="2">
        <v>0</v>
      </c>
      <c r="F167" s="2">
        <v>0</v>
      </c>
      <c r="G167" s="3">
        <f t="shared" si="0"/>
        <v>2577.45046</v>
      </c>
      <c r="H167" s="3">
        <f t="shared" si="1"/>
        <v>0.31000000000040018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31152.47</v>
      </c>
      <c r="D169" s="2">
        <f>'PR-RAS'!E173</f>
        <v>36715.019999999997</v>
      </c>
      <c r="E169" s="2">
        <v>0</v>
      </c>
      <c r="F169" s="2">
        <v>0</v>
      </c>
      <c r="G169" s="3">
        <f t="shared" si="0"/>
        <v>17569.861680000002</v>
      </c>
      <c r="H169" s="3">
        <f t="shared" si="1"/>
        <v>0.48999999999796273</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6959.66</v>
      </c>
      <c r="D170" s="2">
        <f>'PR-RAS'!E174</f>
        <v>1565.75</v>
      </c>
      <c r="E170" s="2">
        <v>0</v>
      </c>
      <c r="F170" s="2">
        <v>0</v>
      </c>
      <c r="G170" s="3">
        <f t="shared" si="0"/>
        <v>1705.4060400000001</v>
      </c>
      <c r="H170" s="3">
        <f t="shared" si="1"/>
        <v>0.59000000000014552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904.62</v>
      </c>
      <c r="D171" s="2">
        <f>'PR-RAS'!E175</f>
        <v>2076.6799999999998</v>
      </c>
      <c r="E171" s="2">
        <v>0</v>
      </c>
      <c r="F171" s="2">
        <v>0</v>
      </c>
      <c r="G171" s="3">
        <f t="shared" si="0"/>
        <v>859.85659999999996</v>
      </c>
      <c r="H171" s="3">
        <f t="shared" si="1"/>
        <v>0.70000000000015916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294843.17</v>
      </c>
      <c r="D174" s="2">
        <f>'PR-RAS'!E178</f>
        <v>223484.99000000002</v>
      </c>
      <c r="E174" s="2">
        <v>0</v>
      </c>
      <c r="F174" s="2">
        <v>0</v>
      </c>
      <c r="G174" s="3">
        <f t="shared" si="0"/>
        <v>128333.67495</v>
      </c>
      <c r="H174" s="3">
        <f t="shared" si="1"/>
        <v>0.17999999996391125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8249.69</v>
      </c>
      <c r="D175" s="2">
        <f>'PR-RAS'!E179</f>
        <v>7047.68</v>
      </c>
      <c r="E175" s="2">
        <v>0</v>
      </c>
      <c r="F175" s="2">
        <v>0</v>
      </c>
      <c r="G175" s="3">
        <f t="shared" si="0"/>
        <v>3888.0387000000001</v>
      </c>
      <c r="H175" s="3">
        <f t="shared" si="1"/>
        <v>0.62999999999919964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217338.29</v>
      </c>
      <c r="D176" s="2">
        <f>'PR-RAS'!E180</f>
        <v>105791.32</v>
      </c>
      <c r="E176" s="2">
        <v>0</v>
      </c>
      <c r="F176" s="2">
        <v>0</v>
      </c>
      <c r="G176" s="3">
        <f t="shared" si="0"/>
        <v>75061.162750000003</v>
      </c>
      <c r="H176" s="3">
        <f t="shared" si="1"/>
        <v>0.61000000001513399</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3966.96</v>
      </c>
      <c r="D177" s="2">
        <f>'PR-RAS'!E181</f>
        <v>4843.8</v>
      </c>
      <c r="E177" s="2">
        <v>0</v>
      </c>
      <c r="F177" s="2">
        <v>0</v>
      </c>
      <c r="G177" s="3">
        <f t="shared" si="0"/>
        <v>2403.2025600000002</v>
      </c>
      <c r="H177" s="3">
        <f t="shared" si="1"/>
        <v>0.23999999999978172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14055.03</v>
      </c>
      <c r="D178" s="2">
        <f>'PR-RAS'!E182</f>
        <v>13342.91</v>
      </c>
      <c r="E178" s="2">
        <v>0</v>
      </c>
      <c r="F178" s="2">
        <v>0</v>
      </c>
      <c r="G178" s="3">
        <f t="shared" si="0"/>
        <v>7211.1304499999997</v>
      </c>
      <c r="H178" s="3">
        <f t="shared" si="1"/>
        <v>0.12000000000080036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6423.49</v>
      </c>
      <c r="D180" s="2">
        <f>'PR-RAS'!E184</f>
        <v>5081.03</v>
      </c>
      <c r="E180" s="2">
        <v>0</v>
      </c>
      <c r="F180" s="2">
        <v>0</v>
      </c>
      <c r="G180" s="3">
        <f t="shared" si="0"/>
        <v>2968.8134499999996</v>
      </c>
      <c r="H180" s="3">
        <f t="shared" si="1"/>
        <v>0.51999999999952706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25806.39</v>
      </c>
      <c r="D181" s="2">
        <f>'PR-RAS'!E185</f>
        <v>50237.5</v>
      </c>
      <c r="E181" s="2">
        <v>0</v>
      </c>
      <c r="F181" s="2">
        <v>0</v>
      </c>
      <c r="G181" s="3">
        <f t="shared" si="0"/>
        <v>22730.6502</v>
      </c>
      <c r="H181" s="3">
        <f t="shared" si="1"/>
        <v>0.88999999999941792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4762.6400000000003</v>
      </c>
      <c r="D182" s="2">
        <f>'PR-RAS'!E186</f>
        <v>11199.9</v>
      </c>
      <c r="E182" s="2">
        <v>0</v>
      </c>
      <c r="F182" s="2">
        <v>0</v>
      </c>
      <c r="G182" s="3">
        <f t="shared" si="0"/>
        <v>4916.40164</v>
      </c>
      <c r="H182" s="3">
        <f t="shared" si="1"/>
        <v>0.46000000000003638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14240.68</v>
      </c>
      <c r="D183" s="2">
        <f>'PR-RAS'!E187</f>
        <v>25940.85</v>
      </c>
      <c r="E183" s="2">
        <v>0</v>
      </c>
      <c r="F183" s="2">
        <v>0</v>
      </c>
      <c r="G183" s="3">
        <f t="shared" si="0"/>
        <v>12034.273160000001</v>
      </c>
      <c r="H183" s="3">
        <f t="shared" si="1"/>
        <v>0.47000000000116415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30609.97</v>
      </c>
      <c r="D184" s="2">
        <f>'PR-RAS'!E188</f>
        <v>0</v>
      </c>
      <c r="E184" s="2">
        <v>0</v>
      </c>
      <c r="F184" s="2">
        <v>0</v>
      </c>
      <c r="G184" s="3">
        <f t="shared" si="0"/>
        <v>5601.6245099999996</v>
      </c>
      <c r="H184" s="3">
        <f t="shared" si="1"/>
        <v>2.9999999998835847E-2</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50965.15</v>
      </c>
      <c r="D190" s="2">
        <f>'PR-RAS'!E194</f>
        <v>84507.85</v>
      </c>
      <c r="E190" s="2">
        <v>0</v>
      </c>
      <c r="F190" s="2">
        <v>0</v>
      </c>
      <c r="G190" s="3">
        <f t="shared" si="0"/>
        <v>41576.380649999999</v>
      </c>
      <c r="H190" s="3">
        <f t="shared" si="1"/>
        <v>0.29999999999563443</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25214.66</v>
      </c>
      <c r="D191" s="2">
        <f>'PR-RAS'!E195</f>
        <v>15291.4</v>
      </c>
      <c r="E191" s="2">
        <v>0</v>
      </c>
      <c r="F191" s="2">
        <v>0</v>
      </c>
      <c r="G191" s="3">
        <f t="shared" si="0"/>
        <v>10601.517400000001</v>
      </c>
      <c r="H191" s="3">
        <f t="shared" si="1"/>
        <v>0.73999999999978172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1284.67</v>
      </c>
      <c r="D192" s="2">
        <f>'PR-RAS'!E196</f>
        <v>3603.81</v>
      </c>
      <c r="E192" s="2">
        <v>0</v>
      </c>
      <c r="F192" s="2">
        <v>0</v>
      </c>
      <c r="G192" s="3">
        <f t="shared" si="0"/>
        <v>1622.0273900000002</v>
      </c>
      <c r="H192" s="3">
        <f t="shared" si="1"/>
        <v>0.51999999999998181</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1486.64</v>
      </c>
      <c r="D193" s="2">
        <f>'PR-RAS'!E197</f>
        <v>3987.96</v>
      </c>
      <c r="E193" s="2">
        <v>0</v>
      </c>
      <c r="F193" s="2">
        <v>0</v>
      </c>
      <c r="G193" s="3">
        <f t="shared" si="0"/>
        <v>1816.81152</v>
      </c>
      <c r="H193" s="3">
        <f t="shared" si="1"/>
        <v>0.39999999999986358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4840.29</v>
      </c>
      <c r="D194" s="2">
        <f>'PR-RAS'!E198</f>
        <v>4475</v>
      </c>
      <c r="E194" s="2">
        <v>0</v>
      </c>
      <c r="F194" s="2">
        <v>0</v>
      </c>
      <c r="G194" s="3">
        <f t="shared" si="0"/>
        <v>2661.5259700000001</v>
      </c>
      <c r="H194" s="3">
        <f t="shared" si="1"/>
        <v>0.28999999999996362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2629.03</v>
      </c>
      <c r="D195" s="2">
        <f>'PR-RAS'!E199</f>
        <v>6461.6</v>
      </c>
      <c r="E195" s="2">
        <v>0</v>
      </c>
      <c r="F195" s="2">
        <v>0</v>
      </c>
      <c r="G195" s="3">
        <f t="shared" si="0"/>
        <v>3017.1326200000003</v>
      </c>
      <c r="H195" s="3">
        <f t="shared" si="1"/>
        <v>0.42999999999983629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15509.86</v>
      </c>
      <c r="D197" s="2">
        <f>'PR-RAS'!E201</f>
        <v>50688.08</v>
      </c>
      <c r="E197" s="2">
        <v>0</v>
      </c>
      <c r="F197" s="2">
        <v>0</v>
      </c>
      <c r="G197" s="3">
        <f t="shared" si="0"/>
        <v>22909.659920000002</v>
      </c>
      <c r="H197" s="3">
        <f t="shared" si="1"/>
        <v>0.22000000000116415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10665.09</v>
      </c>
      <c r="D198" s="2">
        <f>'PR-RAS'!E202</f>
        <v>14122.09</v>
      </c>
      <c r="E198" s="2">
        <v>0</v>
      </c>
      <c r="F198" s="2">
        <v>0</v>
      </c>
      <c r="G198" s="3">
        <f t="shared" si="0"/>
        <v>7665.1261900000009</v>
      </c>
      <c r="H198" s="3">
        <f t="shared" si="1"/>
        <v>0.18000000000029104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7918.99</v>
      </c>
      <c r="D204" s="2">
        <f>'PR-RAS'!E208</f>
        <v>10145.65</v>
      </c>
      <c r="E204" s="2">
        <v>0</v>
      </c>
      <c r="F204" s="2">
        <v>0</v>
      </c>
      <c r="G204" s="3">
        <f t="shared" si="0"/>
        <v>5726.6888700000009</v>
      </c>
      <c r="H204" s="3">
        <f t="shared" si="1"/>
        <v>0.36000000000058208</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7918.99</v>
      </c>
      <c r="D207" s="2">
        <f>'PR-RAS'!E211</f>
        <v>10145.65</v>
      </c>
      <c r="E207" s="2">
        <v>0</v>
      </c>
      <c r="F207" s="2">
        <v>0</v>
      </c>
      <c r="G207" s="3">
        <f t="shared" si="0"/>
        <v>5811.3197399999999</v>
      </c>
      <c r="H207" s="3">
        <f t="shared" si="1"/>
        <v>0.36000000000058208</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2746.1</v>
      </c>
      <c r="D212" s="2">
        <f>'PR-RAS'!E216</f>
        <v>3976.44</v>
      </c>
      <c r="E212" s="2">
        <v>0</v>
      </c>
      <c r="F212" s="2">
        <v>0</v>
      </c>
      <c r="G212" s="3">
        <f t="shared" si="0"/>
        <v>2257.4847799999998</v>
      </c>
      <c r="H212" s="3">
        <f t="shared" si="1"/>
        <v>0.53999999999996362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2731.6</v>
      </c>
      <c r="D213" s="2">
        <f>'PR-RAS'!E217</f>
        <v>2801.41</v>
      </c>
      <c r="E213" s="2">
        <v>0</v>
      </c>
      <c r="F213" s="2">
        <v>0</v>
      </c>
      <c r="G213" s="3">
        <f t="shared" si="0"/>
        <v>1766.8970400000001</v>
      </c>
      <c r="H213" s="3">
        <f t="shared" si="1"/>
        <v>0.80999999999994543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13.87</v>
      </c>
      <c r="D215" s="2">
        <f>'PR-RAS'!E219</f>
        <v>19.510000000000002</v>
      </c>
      <c r="E215" s="2">
        <v>0</v>
      </c>
      <c r="F215" s="2">
        <v>0</v>
      </c>
      <c r="G215" s="3">
        <f t="shared" si="0"/>
        <v>11.31846</v>
      </c>
      <c r="H215" s="3">
        <f t="shared" si="1"/>
        <v>0.61999999999999922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0.63</v>
      </c>
      <c r="D216" s="2">
        <f>'PR-RAS'!E220</f>
        <v>1155.52</v>
      </c>
      <c r="E216" s="2">
        <v>0</v>
      </c>
      <c r="F216" s="2">
        <v>0</v>
      </c>
      <c r="G216" s="3">
        <f t="shared" si="0"/>
        <v>497.00905</v>
      </c>
      <c r="H216" s="3">
        <f t="shared" si="1"/>
        <v>0.85000000000001819</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299968.67000000004</v>
      </c>
      <c r="D226" s="2">
        <f>'PR-RAS'!E230</f>
        <v>397365.92</v>
      </c>
      <c r="E226" s="2">
        <v>0</v>
      </c>
      <c r="F226" s="2">
        <v>0</v>
      </c>
      <c r="G226" s="3">
        <f t="shared" si="0"/>
        <v>246307.61475000001</v>
      </c>
      <c r="H226" s="3">
        <f t="shared" si="1"/>
        <v>0.40999999997438863</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23926.33</v>
      </c>
      <c r="D242" s="2">
        <f>'PR-RAS'!E246</f>
        <v>44244.86</v>
      </c>
      <c r="E242" s="2">
        <v>0</v>
      </c>
      <c r="F242" s="2">
        <v>0</v>
      </c>
      <c r="G242" s="3">
        <f t="shared" si="0"/>
        <v>27092.268049999999</v>
      </c>
      <c r="H242" s="3">
        <f t="shared" si="1"/>
        <v>0.47000000000116415</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23926.33</v>
      </c>
      <c r="D243" s="2">
        <f>'PR-RAS'!E247</f>
        <v>44244.86</v>
      </c>
      <c r="E243" s="2">
        <v>0</v>
      </c>
      <c r="F243" s="2">
        <v>0</v>
      </c>
      <c r="G243" s="3">
        <f t="shared" si="0"/>
        <v>27204.684099999999</v>
      </c>
      <c r="H243" s="3">
        <f t="shared" si="1"/>
        <v>0.47000000000116415</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276042.34000000003</v>
      </c>
      <c r="D246" s="2">
        <f>'PR-RAS'!E250</f>
        <v>353121.06</v>
      </c>
      <c r="E246" s="2">
        <v>0</v>
      </c>
      <c r="F246" s="2">
        <v>0</v>
      </c>
      <c r="G246" s="3">
        <f t="shared" si="0"/>
        <v>240659.69269999999</v>
      </c>
      <c r="H246" s="3">
        <f t="shared" si="1"/>
        <v>0.40000000002328306</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276042.34000000003</v>
      </c>
      <c r="D247" s="2">
        <f>'PR-RAS'!E251</f>
        <v>353121.06</v>
      </c>
      <c r="E247" s="2">
        <v>0</v>
      </c>
      <c r="F247" s="2">
        <v>0</v>
      </c>
      <c r="G247" s="3">
        <f t="shared" si="0"/>
        <v>241641.97715999998</v>
      </c>
      <c r="H247" s="3">
        <f t="shared" si="1"/>
        <v>0.40000000002328306</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37856.11</v>
      </c>
      <c r="D258" s="2">
        <f>'PR-RAS'!E262</f>
        <v>45033.509999999995</v>
      </c>
      <c r="E258" s="2">
        <v>0</v>
      </c>
      <c r="F258" s="2">
        <v>0</v>
      </c>
      <c r="G258" s="3">
        <f t="shared" si="0"/>
        <v>32876.244409999999</v>
      </c>
      <c r="H258" s="3">
        <f t="shared" si="1"/>
        <v>0.60000000000582077</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37856.11</v>
      </c>
      <c r="D265" s="2">
        <f>'PR-RAS'!E269</f>
        <v>45033.509999999995</v>
      </c>
      <c r="E265" s="2">
        <v>0</v>
      </c>
      <c r="F265" s="2">
        <v>0</v>
      </c>
      <c r="G265" s="3">
        <f t="shared" si="0"/>
        <v>33771.706319999998</v>
      </c>
      <c r="H265" s="3">
        <f t="shared" si="1"/>
        <v>0.60000000000582077</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18191.03</v>
      </c>
      <c r="D266" s="2">
        <f>'PR-RAS'!E270</f>
        <v>18993.64</v>
      </c>
      <c r="E266" s="2">
        <v>0</v>
      </c>
      <c r="F266" s="2">
        <v>0</v>
      </c>
      <c r="G266" s="3">
        <f t="shared" si="0"/>
        <v>14887.25215</v>
      </c>
      <c r="H266" s="3">
        <f t="shared" si="1"/>
        <v>0.38999999999941792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19665.080000000002</v>
      </c>
      <c r="D267" s="2">
        <f>'PR-RAS'!E271</f>
        <v>26039.87</v>
      </c>
      <c r="E267" s="2">
        <v>0</v>
      </c>
      <c r="F267" s="2">
        <v>0</v>
      </c>
      <c r="G267" s="3">
        <f t="shared" si="0"/>
        <v>19084.122120000004</v>
      </c>
      <c r="H267" s="3">
        <f t="shared" si="1"/>
        <v>0.21000000000276486</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314409.59999999998</v>
      </c>
      <c r="D269" s="2">
        <f>'PR-RAS'!E273</f>
        <v>260960.6</v>
      </c>
      <c r="E269" s="2">
        <v>0</v>
      </c>
      <c r="F269" s="2">
        <v>0</v>
      </c>
      <c r="G269" s="3">
        <f t="shared" si="0"/>
        <v>224136.65440000003</v>
      </c>
      <c r="H269" s="3">
        <f t="shared" si="1"/>
        <v>0.8000000000174623</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310909.59999999998</v>
      </c>
      <c r="D270" s="2">
        <f>'PR-RAS'!E274</f>
        <v>255460.6</v>
      </c>
      <c r="E270" s="2">
        <v>0</v>
      </c>
      <c r="F270" s="2">
        <v>0</v>
      </c>
      <c r="G270" s="3">
        <f t="shared" si="0"/>
        <v>221072.48520000002</v>
      </c>
      <c r="H270" s="3">
        <f t="shared" si="1"/>
        <v>0.8000000000174623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310909.59999999998</v>
      </c>
      <c r="D271" s="2">
        <f>'PR-RAS'!E275</f>
        <v>255460.6</v>
      </c>
      <c r="E271" s="2">
        <v>0</v>
      </c>
      <c r="F271" s="2">
        <v>0</v>
      </c>
      <c r="G271" s="3">
        <f t="shared" si="0"/>
        <v>221894.31600000002</v>
      </c>
      <c r="H271" s="3">
        <f t="shared" si="1"/>
        <v>0.8000000000174623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3500</v>
      </c>
      <c r="D274" s="2">
        <f>'PR-RAS'!E278</f>
        <v>5500</v>
      </c>
      <c r="E274" s="2">
        <v>0</v>
      </c>
      <c r="F274" s="2">
        <v>0</v>
      </c>
      <c r="G274" s="3">
        <f t="shared" si="0"/>
        <v>3958.5000000000005</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3500</v>
      </c>
      <c r="D275" s="2">
        <f>'PR-RAS'!E279</f>
        <v>5500</v>
      </c>
      <c r="E275" s="2">
        <v>0</v>
      </c>
      <c r="F275" s="2">
        <v>0</v>
      </c>
      <c r="G275" s="3">
        <f t="shared" ref="G275:G528" si="12">(B275/1000)*(C275*1+D275*2)</f>
        <v>3973.0000000000005</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1224679.26</v>
      </c>
      <c r="D295" s="2">
        <f>'PR-RAS'!E299</f>
        <v>1261800.2300000002</v>
      </c>
      <c r="E295" s="2">
        <v>0</v>
      </c>
      <c r="F295" s="2">
        <v>0</v>
      </c>
      <c r="G295" s="3">
        <f t="shared" si="12"/>
        <v>1101994.23768</v>
      </c>
      <c r="H295" s="3">
        <f t="shared" si="13"/>
        <v>0.49000000022351742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187541.44999999972</v>
      </c>
      <c r="D296" s="2">
        <f>'PR-RAS'!E300</f>
        <v>334725.58999999962</v>
      </c>
      <c r="E296" s="2">
        <v>0</v>
      </c>
      <c r="F296" s="2">
        <v>0</v>
      </c>
      <c r="G296" s="3">
        <f t="shared" si="12"/>
        <v>252812.82584999967</v>
      </c>
      <c r="H296" s="3">
        <f t="shared" si="13"/>
        <v>0.86000000010244548</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1615.19</v>
      </c>
      <c r="D298" s="2">
        <f>'PR-RAS'!E302</f>
        <v>0</v>
      </c>
      <c r="E298" s="2">
        <v>0</v>
      </c>
      <c r="F298" s="2">
        <v>0</v>
      </c>
      <c r="G298" s="3">
        <f t="shared" si="12"/>
        <v>479.71143000000001</v>
      </c>
      <c r="H298" s="3">
        <f t="shared" si="13"/>
        <v>0.19000000000005457</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3740.07</v>
      </c>
      <c r="D300" s="2">
        <f>'PR-RAS'!E304</f>
        <v>10590.14</v>
      </c>
      <c r="E300" s="2">
        <v>0</v>
      </c>
      <c r="F300" s="2">
        <v>0</v>
      </c>
      <c r="G300" s="3">
        <f t="shared" si="12"/>
        <v>7451.1846499999992</v>
      </c>
      <c r="H300" s="3">
        <f t="shared" si="13"/>
        <v>0.20999999999958163</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65.69</v>
      </c>
      <c r="D303" s="2">
        <f>'PR-RAS'!E308</f>
        <v>23965.93</v>
      </c>
      <c r="E303" s="2">
        <v>0</v>
      </c>
      <c r="F303" s="2">
        <v>0</v>
      </c>
      <c r="G303" s="3">
        <f t="shared" si="12"/>
        <v>14495.260100000001</v>
      </c>
      <c r="H303" s="3">
        <f t="shared" si="13"/>
        <v>0.37999999999971124</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23912.38</v>
      </c>
      <c r="E304" s="2">
        <v>0</v>
      </c>
      <c r="F304" s="2">
        <v>0</v>
      </c>
      <c r="G304" s="3">
        <f t="shared" si="12"/>
        <v>14490.90228</v>
      </c>
      <c r="H304" s="3">
        <f t="shared" si="13"/>
        <v>0.38000000000101863</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23912.38</v>
      </c>
      <c r="E305" s="2">
        <v>0</v>
      </c>
      <c r="F305" s="2">
        <v>0</v>
      </c>
      <c r="G305" s="3">
        <f t="shared" si="12"/>
        <v>14538.72704</v>
      </c>
      <c r="H305" s="3">
        <f t="shared" si="13"/>
        <v>0.38000000000101863</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23912.38</v>
      </c>
      <c r="E306" s="2">
        <v>0</v>
      </c>
      <c r="F306" s="2">
        <v>0</v>
      </c>
      <c r="G306" s="3">
        <f t="shared" si="12"/>
        <v>14586.551800000001</v>
      </c>
      <c r="H306" s="3">
        <f t="shared" si="13"/>
        <v>0.38000000000101863</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65.69</v>
      </c>
      <c r="D316" s="2">
        <f>'PR-RAS'!E321</f>
        <v>53.55</v>
      </c>
      <c r="E316" s="2">
        <v>0</v>
      </c>
      <c r="F316" s="2">
        <v>0</v>
      </c>
      <c r="G316" s="3">
        <f t="shared" si="12"/>
        <v>54.428849999999997</v>
      </c>
      <c r="H316" s="3">
        <f t="shared" si="13"/>
        <v>0.76000000000000512</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65.69</v>
      </c>
      <c r="D317" s="2">
        <f>'PR-RAS'!E322</f>
        <v>53.55</v>
      </c>
      <c r="E317" s="2">
        <v>0</v>
      </c>
      <c r="F317" s="2">
        <v>0</v>
      </c>
      <c r="G317" s="3">
        <f t="shared" si="12"/>
        <v>54.601639999999996</v>
      </c>
      <c r="H317" s="3">
        <f t="shared" si="13"/>
        <v>0.76000000000000512</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65.69</v>
      </c>
      <c r="D318" s="2">
        <f>'PR-RAS'!E323</f>
        <v>53.55</v>
      </c>
      <c r="E318" s="2">
        <v>0</v>
      </c>
      <c r="F318" s="2">
        <v>0</v>
      </c>
      <c r="G318" s="3">
        <f t="shared" si="12"/>
        <v>54.774429999999995</v>
      </c>
      <c r="H318" s="3">
        <f t="shared" si="13"/>
        <v>0.76000000000000512</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350384.04</v>
      </c>
      <c r="D355" s="2">
        <f>'PR-RAS'!E360</f>
        <v>289979.59000000003</v>
      </c>
      <c r="E355" s="2">
        <v>0</v>
      </c>
      <c r="F355" s="2">
        <v>0</v>
      </c>
      <c r="G355" s="3">
        <f t="shared" si="12"/>
        <v>329341.49987999996</v>
      </c>
      <c r="H355" s="3">
        <f t="shared" si="13"/>
        <v>0.44999999995343387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291413.68</v>
      </c>
      <c r="D368" s="2">
        <f>'PR-RAS'!E373</f>
        <v>213433.52000000002</v>
      </c>
      <c r="E368" s="2">
        <v>0</v>
      </c>
      <c r="F368" s="2">
        <v>0</v>
      </c>
      <c r="G368" s="3">
        <f t="shared" si="12"/>
        <v>263609.02424</v>
      </c>
      <c r="H368" s="3">
        <f t="shared" si="13"/>
        <v>0.79999999998835847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239042.43</v>
      </c>
      <c r="D369" s="2">
        <f>'PR-RAS'!E374</f>
        <v>213433.52000000002</v>
      </c>
      <c r="E369" s="2">
        <v>0</v>
      </c>
      <c r="F369" s="2">
        <v>0</v>
      </c>
      <c r="G369" s="3">
        <f t="shared" si="12"/>
        <v>245054.68495999998</v>
      </c>
      <c r="H369" s="3">
        <f t="shared" si="13"/>
        <v>0.90999999997438863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77789.94</v>
      </c>
      <c r="E371" s="2">
        <v>0</v>
      </c>
      <c r="F371" s="2">
        <v>0</v>
      </c>
      <c r="G371" s="3">
        <f t="shared" si="12"/>
        <v>57564.5556</v>
      </c>
      <c r="H371" s="3">
        <f t="shared" si="13"/>
        <v>5.9999999997671694E-2</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81584.3</v>
      </c>
      <c r="D372" s="2">
        <f>'PR-RAS'!E377</f>
        <v>52670.45</v>
      </c>
      <c r="E372" s="2">
        <v>0</v>
      </c>
      <c r="F372" s="2">
        <v>0</v>
      </c>
      <c r="G372" s="3">
        <f t="shared" si="12"/>
        <v>69349.249200000006</v>
      </c>
      <c r="H372" s="3">
        <f t="shared" si="13"/>
        <v>0.75</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157458.13</v>
      </c>
      <c r="D373" s="2">
        <f>'PR-RAS'!E378</f>
        <v>82973.13</v>
      </c>
      <c r="E373" s="2">
        <v>0</v>
      </c>
      <c r="F373" s="2">
        <v>0</v>
      </c>
      <c r="G373" s="3">
        <f t="shared" si="12"/>
        <v>120306.43308</v>
      </c>
      <c r="H373" s="3">
        <f t="shared" si="13"/>
        <v>0.26000000000931323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39255</v>
      </c>
      <c r="D374" s="2">
        <f>'PR-RAS'!E379</f>
        <v>0</v>
      </c>
      <c r="E374" s="2">
        <v>0</v>
      </c>
      <c r="F374" s="2">
        <v>0</v>
      </c>
      <c r="G374" s="3">
        <f t="shared" si="12"/>
        <v>14642.115</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2562.5</v>
      </c>
      <c r="D375" s="2">
        <f>'PR-RAS'!E380</f>
        <v>0</v>
      </c>
      <c r="E375" s="2">
        <v>0</v>
      </c>
      <c r="F375" s="2">
        <v>0</v>
      </c>
      <c r="G375" s="3">
        <f t="shared" si="12"/>
        <v>958.375</v>
      </c>
      <c r="H375" s="3">
        <f t="shared" si="13"/>
        <v>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36692.5</v>
      </c>
      <c r="D381" s="2">
        <f>'PR-RAS'!E386</f>
        <v>0</v>
      </c>
      <c r="E381" s="2">
        <v>0</v>
      </c>
      <c r="F381" s="2">
        <v>0</v>
      </c>
      <c r="G381" s="3">
        <f t="shared" si="12"/>
        <v>13943.15</v>
      </c>
      <c r="H381" s="3">
        <f t="shared" si="13"/>
        <v>0.5</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13116.25</v>
      </c>
      <c r="D396" s="2">
        <f>'PR-RAS'!E401</f>
        <v>0</v>
      </c>
      <c r="E396" s="2">
        <v>0</v>
      </c>
      <c r="F396" s="2">
        <v>0</v>
      </c>
      <c r="G396" s="3">
        <f t="shared" si="12"/>
        <v>5180.9187499999998</v>
      </c>
      <c r="H396" s="3">
        <f t="shared" si="13"/>
        <v>0.25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13116.25</v>
      </c>
      <c r="D400" s="2">
        <f>'PR-RAS'!E405</f>
        <v>0</v>
      </c>
      <c r="E400" s="2">
        <v>0</v>
      </c>
      <c r="F400" s="2">
        <v>0</v>
      </c>
      <c r="G400" s="3">
        <f t="shared" si="12"/>
        <v>5233.38375</v>
      </c>
      <c r="H400" s="3">
        <f t="shared" si="13"/>
        <v>0.25</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58970.36</v>
      </c>
      <c r="D407" s="2">
        <f>'PR-RAS'!E412</f>
        <v>76546.070000000007</v>
      </c>
      <c r="E407" s="2">
        <v>0</v>
      </c>
      <c r="F407" s="2">
        <v>0</v>
      </c>
      <c r="G407" s="3">
        <f t="shared" si="12"/>
        <v>86097.375</v>
      </c>
      <c r="H407" s="3">
        <f t="shared" si="13"/>
        <v>0.430000000007567</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58970.36</v>
      </c>
      <c r="D408" s="2">
        <f>'PR-RAS'!E413</f>
        <v>76546.070000000007</v>
      </c>
      <c r="E408" s="2">
        <v>0</v>
      </c>
      <c r="F408" s="2">
        <v>0</v>
      </c>
      <c r="G408" s="3">
        <f t="shared" si="12"/>
        <v>86309.4375</v>
      </c>
      <c r="H408" s="3">
        <f t="shared" si="13"/>
        <v>0.430000000007567</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350318.35</v>
      </c>
      <c r="D413" s="2">
        <f>'PR-RAS'!E418</f>
        <v>266013.66000000003</v>
      </c>
      <c r="E413" s="2">
        <v>0</v>
      </c>
      <c r="F413" s="2">
        <v>0</v>
      </c>
      <c r="G413" s="3">
        <f t="shared" si="12"/>
        <v>363526.41603999998</v>
      </c>
      <c r="H413" s="3">
        <f t="shared" si="13"/>
        <v>0.68999999994412065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156482</v>
      </c>
      <c r="E415" s="2">
        <v>0</v>
      </c>
      <c r="F415" s="2">
        <v>0</v>
      </c>
      <c r="G415" s="3">
        <f t="shared" si="12"/>
        <v>129567.09599999999</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453.67</v>
      </c>
      <c r="D416" s="2">
        <f>'PR-RAS'!E421</f>
        <v>400.12</v>
      </c>
      <c r="E416" s="2">
        <v>0</v>
      </c>
      <c r="F416" s="2">
        <v>0</v>
      </c>
      <c r="G416" s="3">
        <f t="shared" si="12"/>
        <v>520.37265000000002</v>
      </c>
      <c r="H416" s="3">
        <f t="shared" si="13"/>
        <v>0.44999999999998863</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1412286.3999999997</v>
      </c>
      <c r="D417" s="2">
        <f>'PR-RAS'!E422</f>
        <v>1620491.7499999998</v>
      </c>
      <c r="E417" s="2">
        <v>0</v>
      </c>
      <c r="F417" s="2">
        <v>0</v>
      </c>
      <c r="G417" s="3">
        <f t="shared" si="12"/>
        <v>1935760.2783999997</v>
      </c>
      <c r="H417" s="3">
        <f t="shared" si="13"/>
        <v>0.64999999990686774</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1575063.3</v>
      </c>
      <c r="D418" s="2">
        <f>'PR-RAS'!E423</f>
        <v>1551779.8200000003</v>
      </c>
      <c r="E418" s="2">
        <v>0</v>
      </c>
      <c r="F418" s="2">
        <v>0</v>
      </c>
      <c r="G418" s="3">
        <f t="shared" si="12"/>
        <v>1950985.7659800001</v>
      </c>
      <c r="H418" s="3">
        <f t="shared" si="13"/>
        <v>0.4799999997485429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68711.929999999469</v>
      </c>
      <c r="E419" s="2">
        <v>0</v>
      </c>
      <c r="F419" s="2">
        <v>0</v>
      </c>
      <c r="G419" s="3">
        <f t="shared" si="12"/>
        <v>57443.173479999554</v>
      </c>
      <c r="H419" s="3">
        <f t="shared" si="13"/>
        <v>7.0000000530853868E-2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162776.90000000037</v>
      </c>
      <c r="D420" s="2">
        <f>'PR-RAS'!E425</f>
        <v>0</v>
      </c>
      <c r="E420" s="2">
        <v>0</v>
      </c>
      <c r="F420" s="2">
        <v>0</v>
      </c>
      <c r="G420" s="3">
        <f t="shared" si="12"/>
        <v>68203.521100000158</v>
      </c>
      <c r="H420" s="3">
        <f t="shared" si="13"/>
        <v>9.999999962747097E-2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1615.19</v>
      </c>
      <c r="D421" s="2">
        <f>'PR-RAS'!E426</f>
        <v>0</v>
      </c>
      <c r="E421" s="2">
        <v>0</v>
      </c>
      <c r="F421" s="2">
        <v>0</v>
      </c>
      <c r="G421" s="3">
        <f t="shared" si="12"/>
        <v>678.37980000000005</v>
      </c>
      <c r="H421" s="3">
        <f t="shared" si="13"/>
        <v>0.19000000000005457</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156482</v>
      </c>
      <c r="E422" s="2">
        <v>0</v>
      </c>
      <c r="F422" s="2">
        <v>0</v>
      </c>
      <c r="G422" s="3">
        <f t="shared" si="12"/>
        <v>131757.84399999998</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4193.74</v>
      </c>
      <c r="D423" s="2">
        <f>'PR-RAS'!E428</f>
        <v>10990.26</v>
      </c>
      <c r="E423" s="2">
        <v>0</v>
      </c>
      <c r="F423" s="2">
        <v>0</v>
      </c>
      <c r="G423" s="3">
        <f t="shared" si="12"/>
        <v>11045.53772</v>
      </c>
      <c r="H423" s="3">
        <f t="shared" si="13"/>
        <v>0.52000000000043656</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100000</v>
      </c>
      <c r="D424" s="2">
        <f>'PR-RAS'!E430</f>
        <v>500000</v>
      </c>
      <c r="E424" s="2">
        <v>0</v>
      </c>
      <c r="F424" s="2">
        <v>0</v>
      </c>
      <c r="G424" s="3">
        <f t="shared" si="12"/>
        <v>465300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100000</v>
      </c>
      <c r="D485" s="2">
        <f>'PR-RAS'!E491</f>
        <v>500000</v>
      </c>
      <c r="E485" s="2">
        <v>0</v>
      </c>
      <c r="F485" s="2">
        <v>0</v>
      </c>
      <c r="G485" s="3">
        <f t="shared" si="12"/>
        <v>532400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100000</v>
      </c>
      <c r="D496" s="2">
        <f>'PR-RAS'!E502</f>
        <v>500000</v>
      </c>
      <c r="E496" s="2">
        <v>0</v>
      </c>
      <c r="F496" s="2">
        <v>0</v>
      </c>
      <c r="G496" s="3">
        <f t="shared" si="12"/>
        <v>544500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100000</v>
      </c>
      <c r="D497" s="2">
        <f>'PR-RAS'!E503</f>
        <v>500000</v>
      </c>
      <c r="E497" s="2">
        <v>0</v>
      </c>
      <c r="F497" s="2">
        <v>0</v>
      </c>
      <c r="G497" s="3">
        <f t="shared" si="12"/>
        <v>545600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172370.73</v>
      </c>
      <c r="D529" s="2">
        <f>'PR-RAS'!E535</f>
        <v>166447.72</v>
      </c>
      <c r="E529" s="2">
        <v>0</v>
      </c>
      <c r="F529" s="2">
        <v>0</v>
      </c>
      <c r="G529" s="3">
        <f t="shared" ref="G529:G836" si="14">(B529/1000)*(C529*1+D529*2)</f>
        <v>266780.53776000004</v>
      </c>
      <c r="H529" s="3">
        <f t="shared" ref="H529:H836" si="15">ABS(C529-ROUND(C529,0))+ABS(D529-ROUND(D529,0))</f>
        <v>0.54999999998835847</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172370.73</v>
      </c>
      <c r="D591" s="2">
        <f>'PR-RAS'!E597</f>
        <v>166447.72</v>
      </c>
      <c r="E591" s="2">
        <v>0</v>
      </c>
      <c r="F591" s="2">
        <v>0</v>
      </c>
      <c r="G591" s="3">
        <f t="shared" si="14"/>
        <v>298107.04029999999</v>
      </c>
      <c r="H591" s="3">
        <f t="shared" si="15"/>
        <v>0.54999999998835847</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171887.13</v>
      </c>
      <c r="D603" s="2">
        <f>'PR-RAS'!E609</f>
        <v>166447.72</v>
      </c>
      <c r="E603" s="2">
        <v>0</v>
      </c>
      <c r="F603" s="2">
        <v>0</v>
      </c>
      <c r="G603" s="3">
        <f t="shared" si="14"/>
        <v>303879.10713999998</v>
      </c>
      <c r="H603" s="3">
        <f t="shared" si="15"/>
        <v>0.41000000000349246</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171887.13</v>
      </c>
      <c r="D604" s="2">
        <f>'PR-RAS'!E610</f>
        <v>166447.72</v>
      </c>
      <c r="E604" s="2">
        <v>0</v>
      </c>
      <c r="F604" s="2">
        <v>0</v>
      </c>
      <c r="G604" s="3">
        <f t="shared" si="14"/>
        <v>304383.88971000002</v>
      </c>
      <c r="H604" s="3">
        <f t="shared" si="15"/>
        <v>0.41000000000349246</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483.6</v>
      </c>
      <c r="D615" s="2">
        <f>'PR-RAS'!E621</f>
        <v>0</v>
      </c>
      <c r="E615" s="2">
        <v>0</v>
      </c>
      <c r="F615" s="2">
        <v>0</v>
      </c>
      <c r="G615" s="3">
        <f t="shared" si="14"/>
        <v>296.93040000000002</v>
      </c>
      <c r="H615" s="3">
        <f t="shared" si="15"/>
        <v>0.39999999999997726</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483.6</v>
      </c>
      <c r="D616" s="2">
        <f>'PR-RAS'!E622</f>
        <v>0</v>
      </c>
      <c r="E616" s="2">
        <v>0</v>
      </c>
      <c r="F616" s="2">
        <v>0</v>
      </c>
      <c r="G616" s="3">
        <f t="shared" si="14"/>
        <v>297.41399999999999</v>
      </c>
      <c r="H616" s="3">
        <f t="shared" si="15"/>
        <v>0.39999999999997726</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333552.28000000003</v>
      </c>
      <c r="E633" s="2">
        <v>0</v>
      </c>
      <c r="F633" s="2">
        <v>0</v>
      </c>
      <c r="G633" s="3">
        <f t="shared" si="14"/>
        <v>421610.08192000003</v>
      </c>
      <c r="H633" s="3">
        <f t="shared" si="15"/>
        <v>0.28000000002793968</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72370.73000000001</v>
      </c>
      <c r="D634" s="2">
        <f>'PR-RAS'!E640</f>
        <v>0</v>
      </c>
      <c r="E634" s="2">
        <v>0</v>
      </c>
      <c r="F634" s="2">
        <v>0</v>
      </c>
      <c r="G634" s="3">
        <f t="shared" si="14"/>
        <v>45810.672090000007</v>
      </c>
      <c r="H634" s="3">
        <f t="shared" si="15"/>
        <v>0.26999999998952262</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99796.06</v>
      </c>
      <c r="D636" s="2">
        <f>'PR-RAS'!E642</f>
        <v>172166.79</v>
      </c>
      <c r="E636" s="2">
        <v>0</v>
      </c>
      <c r="F636" s="2">
        <v>0</v>
      </c>
      <c r="G636" s="3">
        <f t="shared" si="14"/>
        <v>282022.32140000002</v>
      </c>
      <c r="H636" s="3">
        <f t="shared" si="15"/>
        <v>0.26999999998952262</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1512286.3999999997</v>
      </c>
      <c r="D637" s="2">
        <f>'PR-RAS'!E643</f>
        <v>2120491.75</v>
      </c>
      <c r="E637" s="2">
        <v>0</v>
      </c>
      <c r="F637" s="2">
        <v>0</v>
      </c>
      <c r="G637" s="3">
        <f t="shared" si="14"/>
        <v>3659079.6563999997</v>
      </c>
      <c r="H637" s="3">
        <f t="shared" si="15"/>
        <v>0.6499999996740371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1747434.03</v>
      </c>
      <c r="D638" s="2">
        <f>'PR-RAS'!E644</f>
        <v>1718227.5400000003</v>
      </c>
      <c r="E638" s="2">
        <v>0</v>
      </c>
      <c r="F638" s="2">
        <v>0</v>
      </c>
      <c r="G638" s="3">
        <f t="shared" si="14"/>
        <v>3302137.3630700004</v>
      </c>
      <c r="H638" s="3">
        <f t="shared" si="15"/>
        <v>0.48999999975785613</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402264.20999999973</v>
      </c>
      <c r="E639" s="2">
        <v>0</v>
      </c>
      <c r="F639" s="2">
        <v>0</v>
      </c>
      <c r="G639" s="3">
        <f t="shared" si="14"/>
        <v>513289.13195999968</v>
      </c>
      <c r="H639" s="3">
        <f t="shared" si="15"/>
        <v>0.20999999972991645</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235147.63000000035</v>
      </c>
      <c r="D640" s="2">
        <f>'PR-RAS'!E646</f>
        <v>0</v>
      </c>
      <c r="E640" s="2">
        <v>0</v>
      </c>
      <c r="F640" s="2">
        <v>0</v>
      </c>
      <c r="G640" s="3">
        <f t="shared" si="14"/>
        <v>150259.33557000023</v>
      </c>
      <c r="H640" s="3">
        <f t="shared" si="15"/>
        <v>0.36999999964609742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98180.87</v>
      </c>
      <c r="D642" s="2">
        <f>'PR-RAS'!E648</f>
        <v>328648.79000000004</v>
      </c>
      <c r="E642" s="2">
        <v>0</v>
      </c>
      <c r="F642" s="2">
        <v>0</v>
      </c>
      <c r="G642" s="3">
        <f t="shared" si="14"/>
        <v>484261.68645000004</v>
      </c>
      <c r="H642" s="3">
        <f t="shared" si="15"/>
        <v>0.33999999996740371</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73615.419999999693</v>
      </c>
      <c r="E643" s="2">
        <v>0</v>
      </c>
      <c r="F643" s="2">
        <v>0</v>
      </c>
      <c r="G643" s="3">
        <f t="shared" si="14"/>
        <v>94522.199279999608</v>
      </c>
      <c r="H643" s="3">
        <f t="shared" si="15"/>
        <v>0.41999999969266355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333328.50000000035</v>
      </c>
      <c r="D644" s="2">
        <f>'PR-RAS'!E650</f>
        <v>0</v>
      </c>
      <c r="E644" s="2">
        <v>0</v>
      </c>
      <c r="F644" s="2">
        <v>0</v>
      </c>
      <c r="G644" s="3">
        <f t="shared" si="14"/>
        <v>214330.22550000023</v>
      </c>
      <c r="H644" s="3">
        <f t="shared" si="15"/>
        <v>0.49999999965075403</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59490.12</v>
      </c>
      <c r="D646" s="2">
        <f>'PR-RAS'!E653</f>
        <v>25821.65</v>
      </c>
      <c r="E646" s="2">
        <v>0</v>
      </c>
      <c r="F646" s="2">
        <v>0</v>
      </c>
      <c r="G646" s="3">
        <f t="shared" si="14"/>
        <v>71681.055900000007</v>
      </c>
      <c r="H646" s="3">
        <f t="shared" si="15"/>
        <v>0.47000000000116415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1529883.27</v>
      </c>
      <c r="D647" s="2">
        <f>'PR-RAS'!E654</f>
        <v>1969173.43</v>
      </c>
      <c r="E647" s="2">
        <v>0</v>
      </c>
      <c r="F647" s="2">
        <v>0</v>
      </c>
      <c r="G647" s="3">
        <f t="shared" si="14"/>
        <v>3532476.6639800002</v>
      </c>
      <c r="H647" s="3">
        <f t="shared" si="15"/>
        <v>0.69999999995343387</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1563551.74</v>
      </c>
      <c r="D648" s="2">
        <f>'PR-RAS'!E655</f>
        <v>1858718.34</v>
      </c>
      <c r="E648" s="2">
        <v>0</v>
      </c>
      <c r="F648" s="2">
        <v>0</v>
      </c>
      <c r="G648" s="3">
        <f t="shared" si="14"/>
        <v>3416799.5077400003</v>
      </c>
      <c r="H648" s="3">
        <f t="shared" si="15"/>
        <v>0.60000000009313226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25821.65000000014</v>
      </c>
      <c r="D649" s="2">
        <f>'PR-RAS'!E656</f>
        <v>136276.73999999976</v>
      </c>
      <c r="E649" s="2">
        <v>0</v>
      </c>
      <c r="F649" s="2">
        <v>0</v>
      </c>
      <c r="G649" s="3">
        <f t="shared" si="14"/>
        <v>193347.08423999979</v>
      </c>
      <c r="H649" s="3">
        <f t="shared" si="15"/>
        <v>0.61000000010244548</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4</v>
      </c>
      <c r="D650" s="2">
        <f>'PR-RAS'!E657</f>
        <v>4</v>
      </c>
      <c r="E650" s="2">
        <v>0</v>
      </c>
      <c r="F650" s="2">
        <v>0</v>
      </c>
      <c r="G650" s="3">
        <f t="shared" si="14"/>
        <v>7.7880000000000003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4</v>
      </c>
      <c r="D652" s="2">
        <f>'PR-RAS'!E659</f>
        <v>5</v>
      </c>
      <c r="E652" s="2">
        <v>0</v>
      </c>
      <c r="F652" s="2">
        <v>0</v>
      </c>
      <c r="G652" s="3">
        <f t="shared" si="14"/>
        <v>9.1140000000000008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381001.4</v>
      </c>
      <c r="D662" s="2">
        <f>'PR-RAS'!E669</f>
        <v>0</v>
      </c>
      <c r="E662" s="2">
        <v>0</v>
      </c>
      <c r="F662" s="2">
        <v>0</v>
      </c>
      <c r="G662" s="3">
        <f t="shared" si="14"/>
        <v>251841.92540000004</v>
      </c>
      <c r="H662" s="3">
        <f t="shared" si="15"/>
        <v>0.40000000002328306</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6359.85</v>
      </c>
      <c r="D663" s="2">
        <f>'PR-RAS'!E670</f>
        <v>6510.77</v>
      </c>
      <c r="E663" s="2">
        <v>0</v>
      </c>
      <c r="F663" s="2">
        <v>0</v>
      </c>
      <c r="G663" s="3">
        <f t="shared" si="14"/>
        <v>12830.48018</v>
      </c>
      <c r="H663" s="3">
        <f t="shared" si="15"/>
        <v>0.37999999999919964</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1505.65</v>
      </c>
      <c r="D665" s="2">
        <f>'PR-RAS'!E672</f>
        <v>1644.35</v>
      </c>
      <c r="E665" s="2">
        <v>0</v>
      </c>
      <c r="F665" s="2">
        <v>0</v>
      </c>
      <c r="G665" s="3">
        <f t="shared" si="14"/>
        <v>3183.4484000000002</v>
      </c>
      <c r="H665" s="3">
        <f t="shared" si="15"/>
        <v>0.6999999999998181</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68261.490000000005</v>
      </c>
      <c r="D666" s="2">
        <f>'PR-RAS'!E673</f>
        <v>171400</v>
      </c>
      <c r="E666" s="2">
        <v>0</v>
      </c>
      <c r="F666" s="2">
        <v>0</v>
      </c>
      <c r="G666" s="3">
        <f t="shared" si="14"/>
        <v>273355.89085000003</v>
      </c>
      <c r="H666" s="3">
        <f t="shared" si="15"/>
        <v>0.49000000000523869</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47076.06</v>
      </c>
      <c r="D671" s="2">
        <f>'PR-RAS'!E678</f>
        <v>28129.69</v>
      </c>
      <c r="E671" s="2">
        <v>0</v>
      </c>
      <c r="F671" s="2">
        <v>0</v>
      </c>
      <c r="G671" s="3">
        <f t="shared" si="14"/>
        <v>69234.7448</v>
      </c>
      <c r="H671" s="3">
        <f t="shared" si="15"/>
        <v>0.36999999999898137</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18283.990000000002</v>
      </c>
      <c r="E672" s="2">
        <v>0</v>
      </c>
      <c r="F672" s="2">
        <v>0</v>
      </c>
      <c r="G672" s="3">
        <f t="shared" si="14"/>
        <v>24537.114580000005</v>
      </c>
      <c r="H672" s="3">
        <f t="shared" si="15"/>
        <v>9.9999999983992893E-3</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13700.78</v>
      </c>
      <c r="D674" s="2">
        <f>'PR-RAS'!E681</f>
        <v>0</v>
      </c>
      <c r="E674" s="2">
        <v>0</v>
      </c>
      <c r="F674" s="2">
        <v>0</v>
      </c>
      <c r="G674" s="3">
        <f t="shared" si="14"/>
        <v>9220.6249400000015</v>
      </c>
      <c r="H674" s="3">
        <f t="shared" si="15"/>
        <v>0.21999999999934516</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2073.06</v>
      </c>
      <c r="D727" s="2">
        <f>'PR-RAS'!E734</f>
        <v>3635.36</v>
      </c>
      <c r="E727" s="2">
        <v>0</v>
      </c>
      <c r="F727" s="2">
        <v>0</v>
      </c>
      <c r="G727" s="3">
        <f t="shared" si="14"/>
        <v>6783.58428</v>
      </c>
      <c r="H727" s="3">
        <f t="shared" si="15"/>
        <v>0.42000000000007276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25214.66</v>
      </c>
      <c r="D734" s="2">
        <f>'PR-RAS'!E741</f>
        <v>11660.19</v>
      </c>
      <c r="E734" s="2">
        <v>0</v>
      </c>
      <c r="F734" s="2">
        <v>0</v>
      </c>
      <c r="G734" s="3">
        <f t="shared" si="14"/>
        <v>35576.18432</v>
      </c>
      <c r="H734" s="3">
        <f t="shared" si="15"/>
        <v>0.53000000000065484</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1284.67</v>
      </c>
      <c r="D735" s="2">
        <f>'PR-RAS'!E742</f>
        <v>1910.67</v>
      </c>
      <c r="E735" s="2">
        <v>0</v>
      </c>
      <c r="F735" s="2">
        <v>0</v>
      </c>
      <c r="G735" s="3">
        <f t="shared" si="14"/>
        <v>3747.8113400000002</v>
      </c>
      <c r="H735" s="3">
        <f t="shared" si="15"/>
        <v>0.65999999999985448</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7918.99</v>
      </c>
      <c r="D753" s="2">
        <f>'PR-RAS'!E760</f>
        <v>10145.65</v>
      </c>
      <c r="E753" s="2">
        <v>0</v>
      </c>
      <c r="F753" s="2">
        <v>0</v>
      </c>
      <c r="G753" s="3">
        <f t="shared" si="14"/>
        <v>21214.138080000001</v>
      </c>
      <c r="H753" s="3">
        <f t="shared" si="15"/>
        <v>0.36000000000058208</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8074.27</v>
      </c>
      <c r="D836" s="2">
        <f>'PR-RAS'!E843</f>
        <v>4393.6400000000003</v>
      </c>
      <c r="E836" s="2">
        <v>0</v>
      </c>
      <c r="F836" s="2">
        <v>0</v>
      </c>
      <c r="G836" s="3">
        <f t="shared" si="14"/>
        <v>14079.394250000001</v>
      </c>
      <c r="H836" s="3">
        <f t="shared" si="15"/>
        <v>0.63000000000010914</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3316.76</v>
      </c>
      <c r="D839" s="2">
        <f>'PR-RAS'!E846</f>
        <v>1000</v>
      </c>
      <c r="E839" s="2">
        <v>0</v>
      </c>
      <c r="F839" s="2">
        <v>0</v>
      </c>
      <c r="G839" s="3">
        <f t="shared" si="34"/>
        <v>4455.44488</v>
      </c>
      <c r="H839" s="3">
        <f t="shared" si="35"/>
        <v>0.23999999999978172</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6800</v>
      </c>
      <c r="D841" s="2">
        <f>'PR-RAS'!E848</f>
        <v>13600</v>
      </c>
      <c r="E841" s="2">
        <v>0</v>
      </c>
      <c r="F841" s="2">
        <v>0</v>
      </c>
      <c r="G841" s="3">
        <f t="shared" si="34"/>
        <v>28560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5195.05</v>
      </c>
      <c r="D844" s="2">
        <f>'PR-RAS'!E851</f>
        <v>9447.15</v>
      </c>
      <c r="E844" s="2">
        <v>0</v>
      </c>
      <c r="F844" s="2">
        <v>0</v>
      </c>
      <c r="G844" s="3">
        <f t="shared" si="34"/>
        <v>20307.322049999999</v>
      </c>
      <c r="H844" s="3">
        <f t="shared" si="35"/>
        <v>0.1999999999998181</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107.14</v>
      </c>
      <c r="D846" s="2">
        <f>'PR-RAS'!E853</f>
        <v>0</v>
      </c>
      <c r="E846" s="2">
        <v>0</v>
      </c>
      <c r="F846" s="2">
        <v>0</v>
      </c>
      <c r="G846" s="3">
        <f t="shared" si="34"/>
        <v>90.533299999999997</v>
      </c>
      <c r="H846" s="3">
        <f t="shared" si="35"/>
        <v>0.14000000000000057</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14362.89</v>
      </c>
      <c r="D848" s="2">
        <f>'PR-RAS'!E855</f>
        <v>16592.72</v>
      </c>
      <c r="E848" s="2">
        <v>0</v>
      </c>
      <c r="F848" s="2">
        <v>0</v>
      </c>
      <c r="G848" s="3">
        <f t="shared" si="34"/>
        <v>40273.435510000003</v>
      </c>
      <c r="H848" s="3">
        <f t="shared" si="35"/>
        <v>0.38999999999941792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100000</v>
      </c>
      <c r="D905" s="2">
        <f>'PR-RAS'!E912</f>
        <v>500000</v>
      </c>
      <c r="E905" s="2">
        <v>0</v>
      </c>
      <c r="F905" s="2">
        <v>0</v>
      </c>
      <c r="G905" s="3">
        <f t="shared" si="34"/>
        <v>994400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100000</v>
      </c>
      <c r="D973" s="2">
        <f>'PR-RAS'!E980</f>
        <v>100000</v>
      </c>
      <c r="E973" s="2">
        <v>0</v>
      </c>
      <c r="F973" s="2">
        <v>0</v>
      </c>
      <c r="G973" s="3">
        <f t="shared" si="34"/>
        <v>291600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71887.13</v>
      </c>
      <c r="D974" s="2">
        <f>'PR-RAS'!E981</f>
        <v>66447.72</v>
      </c>
      <c r="E974" s="2">
        <v>0</v>
      </c>
      <c r="F974" s="2">
        <v>0</v>
      </c>
      <c r="G974" s="3">
        <f t="shared" si="34"/>
        <v>199253.44060999999</v>
      </c>
      <c r="H974" s="3">
        <f t="shared" si="35"/>
        <v>0.41000000000349246</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483.6</v>
      </c>
      <c r="D988" s="2">
        <f>'PR-RAS'!E995</f>
        <v>0</v>
      </c>
      <c r="E988" s="2">
        <v>0</v>
      </c>
      <c r="F988" s="2">
        <v>0</v>
      </c>
      <c r="G988" s="3">
        <f t="shared" si="34"/>
        <v>477.31319999999999</v>
      </c>
      <c r="H988" s="3">
        <f t="shared" si="35"/>
        <v>0.39999999999997726</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7145886.1000000015</v>
      </c>
      <c r="D1011" s="7">
        <f>BILANCA!E6</f>
        <v>7322091.1100000022</v>
      </c>
      <c r="E1011" s="7">
        <v>0</v>
      </c>
      <c r="F1011" s="7">
        <v>0</v>
      </c>
      <c r="G1011" s="8">
        <f t="shared" ref="G1011:G1306" si="38">B1011/1000*C1011+B1011/500*D1011</f>
        <v>21790.068320000006</v>
      </c>
      <c r="H1011" s="8">
        <f t="shared" si="35"/>
        <v>0.2100000036880374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6603039.290000001</v>
      </c>
      <c r="D1012" s="2">
        <f>BILANCA!E7</f>
        <v>6696235.2400000021</v>
      </c>
      <c r="E1012" s="2">
        <v>0</v>
      </c>
      <c r="F1012" s="2">
        <v>0</v>
      </c>
      <c r="G1012" s="3">
        <f t="shared" si="38"/>
        <v>39991.019540000008</v>
      </c>
      <c r="H1012" s="3">
        <f t="shared" si="35"/>
        <v>0.53000000305473804</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336061.5</v>
      </c>
      <c r="D1013" s="2">
        <f>BILANCA!E8</f>
        <v>333870.24</v>
      </c>
      <c r="E1013" s="2">
        <v>0</v>
      </c>
      <c r="F1013" s="2">
        <v>0</v>
      </c>
      <c r="G1013" s="3">
        <f t="shared" si="38"/>
        <v>3011.4059400000001</v>
      </c>
      <c r="H1013" s="3">
        <f t="shared" si="35"/>
        <v>0.73999999999068677</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336061.5</v>
      </c>
      <c r="D1014" s="2">
        <f>BILANCA!E9</f>
        <v>333870.24</v>
      </c>
      <c r="E1014" s="2">
        <v>0</v>
      </c>
      <c r="F1014" s="2">
        <v>0</v>
      </c>
      <c r="G1014" s="3">
        <f t="shared" si="38"/>
        <v>4015.2079200000003</v>
      </c>
      <c r="H1014" s="3">
        <f t="shared" si="35"/>
        <v>0.73999999999068677</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5984504.0500000007</v>
      </c>
      <c r="D1017" s="2">
        <f>BILANCA!E12</f>
        <v>6133776.5600000015</v>
      </c>
      <c r="E1017" s="2">
        <v>0</v>
      </c>
      <c r="F1017" s="2">
        <v>0</v>
      </c>
      <c r="G1017" s="3">
        <f t="shared" si="38"/>
        <v>127764.40019000003</v>
      </c>
      <c r="H1017" s="3">
        <f t="shared" si="35"/>
        <v>0.48999999929219484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5904845.3600000003</v>
      </c>
      <c r="D1018" s="2">
        <f>BILANCA!E13</f>
        <v>6073548.580000001</v>
      </c>
      <c r="E1018" s="2">
        <v>0</v>
      </c>
      <c r="F1018" s="2">
        <v>0</v>
      </c>
      <c r="G1018" s="3">
        <f t="shared" si="38"/>
        <v>144415.54016000003</v>
      </c>
      <c r="H1018" s="3">
        <f t="shared" si="35"/>
        <v>0.77999999932944775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14723.1</v>
      </c>
      <c r="D1019" s="2">
        <f>BILANCA!E14</f>
        <v>14723.1</v>
      </c>
      <c r="E1019" s="2">
        <v>0</v>
      </c>
      <c r="F1019" s="2">
        <v>0</v>
      </c>
      <c r="G1019" s="3">
        <f t="shared" si="38"/>
        <v>397.52370000000002</v>
      </c>
      <c r="H1019" s="3">
        <f t="shared" si="35"/>
        <v>0.2000000000007276</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3749946.17</v>
      </c>
      <c r="D1020" s="2">
        <f>BILANCA!E15</f>
        <v>3886663.7</v>
      </c>
      <c r="E1020" s="2">
        <v>0</v>
      </c>
      <c r="F1020" s="2">
        <v>0</v>
      </c>
      <c r="G1020" s="3">
        <f t="shared" si="38"/>
        <v>115232.7357</v>
      </c>
      <c r="H1020" s="3">
        <f t="shared" si="35"/>
        <v>0.46999999973922968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3237192.36</v>
      </c>
      <c r="D1021" s="2">
        <f>BILANCA!E16</f>
        <v>3364690.25</v>
      </c>
      <c r="E1021" s="2">
        <v>0</v>
      </c>
      <c r="F1021" s="2">
        <v>0</v>
      </c>
      <c r="G1021" s="3">
        <f t="shared" si="38"/>
        <v>109632.30145999999</v>
      </c>
      <c r="H1021" s="3">
        <f t="shared" si="35"/>
        <v>0.60999999986961484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1068417.53</v>
      </c>
      <c r="D1022" s="2">
        <f>BILANCA!E17</f>
        <v>1150165.6599999999</v>
      </c>
      <c r="E1022" s="2">
        <v>0</v>
      </c>
      <c r="F1022" s="2">
        <v>0</v>
      </c>
      <c r="G1022" s="3">
        <f t="shared" si="38"/>
        <v>40424.986199999999</v>
      </c>
      <c r="H1022" s="3">
        <f t="shared" si="35"/>
        <v>0.81000000005587935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2165433.7999999998</v>
      </c>
      <c r="D1023" s="2">
        <f>BILANCA!E18</f>
        <v>2342694.13</v>
      </c>
      <c r="E1023" s="2">
        <v>0</v>
      </c>
      <c r="F1023" s="2">
        <v>0</v>
      </c>
      <c r="G1023" s="3">
        <f t="shared" si="38"/>
        <v>89060.686779999989</v>
      </c>
      <c r="H1023" s="3">
        <f t="shared" si="35"/>
        <v>0.33000000007450581</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78169.819999999978</v>
      </c>
      <c r="D1024" s="2">
        <f>BILANCA!E19</f>
        <v>59772.400000000023</v>
      </c>
      <c r="E1024" s="2">
        <v>0</v>
      </c>
      <c r="F1024" s="2">
        <v>0</v>
      </c>
      <c r="G1024" s="3">
        <f t="shared" si="38"/>
        <v>2768.00468</v>
      </c>
      <c r="H1024" s="3">
        <f t="shared" si="35"/>
        <v>0.58000000004540198</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113544.09</v>
      </c>
      <c r="D1025" s="2">
        <f>BILANCA!E20</f>
        <v>113544.09</v>
      </c>
      <c r="E1025" s="2">
        <v>0</v>
      </c>
      <c r="F1025" s="2">
        <v>0</v>
      </c>
      <c r="G1025" s="3">
        <f t="shared" si="38"/>
        <v>5109.4840499999991</v>
      </c>
      <c r="H1025" s="3">
        <f t="shared" si="35"/>
        <v>0.17999999999301508</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899.59</v>
      </c>
      <c r="D1026" s="2">
        <f>BILANCA!E21</f>
        <v>899.59</v>
      </c>
      <c r="E1026" s="2">
        <v>0</v>
      </c>
      <c r="F1026" s="2">
        <v>0</v>
      </c>
      <c r="G1026" s="3">
        <f t="shared" si="38"/>
        <v>43.180320000000002</v>
      </c>
      <c r="H1026" s="3">
        <f t="shared" si="35"/>
        <v>0.81999999999993634</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8208.11</v>
      </c>
      <c r="D1027" s="2">
        <f>BILANCA!E22</f>
        <v>9158.01</v>
      </c>
      <c r="E1027" s="2">
        <v>0</v>
      </c>
      <c r="F1027" s="2">
        <v>0</v>
      </c>
      <c r="G1027" s="3">
        <f t="shared" si="38"/>
        <v>450.91021000000001</v>
      </c>
      <c r="H1027" s="3">
        <f t="shared" si="35"/>
        <v>0.12000000000080036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1073.46</v>
      </c>
      <c r="D1030" s="2">
        <f>BILANCA!E25</f>
        <v>1073.46</v>
      </c>
      <c r="E1030" s="2">
        <v>0</v>
      </c>
      <c r="F1030" s="2">
        <v>0</v>
      </c>
      <c r="G1030" s="3">
        <f t="shared" si="38"/>
        <v>64.407600000000002</v>
      </c>
      <c r="H1030" s="3">
        <f t="shared" si="35"/>
        <v>0.92000000000007276</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88426.49</v>
      </c>
      <c r="D1031" s="2">
        <f>BILANCA!E26</f>
        <v>88426.49</v>
      </c>
      <c r="E1031" s="2">
        <v>0</v>
      </c>
      <c r="F1031" s="2">
        <v>0</v>
      </c>
      <c r="G1031" s="3">
        <f t="shared" si="38"/>
        <v>5570.8688700000012</v>
      </c>
      <c r="H1031" s="3">
        <f t="shared" si="35"/>
        <v>0.98000000001047738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133981.92000000001</v>
      </c>
      <c r="D1033" s="2">
        <f>BILANCA!E28</f>
        <v>153329.24</v>
      </c>
      <c r="E1033" s="2">
        <v>0</v>
      </c>
      <c r="F1033" s="2">
        <v>0</v>
      </c>
      <c r="G1033" s="3">
        <f t="shared" si="38"/>
        <v>10134.7292</v>
      </c>
      <c r="H1033" s="3">
        <f t="shared" si="35"/>
        <v>0.31999999997788109</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1488.8700000000026</v>
      </c>
      <c r="D1050" s="2">
        <f>BILANCA!E45</f>
        <v>455.58000000000175</v>
      </c>
      <c r="E1050" s="2">
        <v>0</v>
      </c>
      <c r="F1050" s="2">
        <v>0</v>
      </c>
      <c r="G1050" s="3">
        <f t="shared" si="38"/>
        <v>96.001200000000239</v>
      </c>
      <c r="H1050" s="3">
        <f t="shared" si="35"/>
        <v>0.54999999999563443</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7671.76</v>
      </c>
      <c r="D1052" s="2">
        <f>BILANCA!E47</f>
        <v>7671.76</v>
      </c>
      <c r="E1052" s="2">
        <v>0</v>
      </c>
      <c r="F1052" s="2">
        <v>0</v>
      </c>
      <c r="G1052" s="3">
        <f t="shared" si="38"/>
        <v>966.64176000000009</v>
      </c>
      <c r="H1052" s="3">
        <f t="shared" si="35"/>
        <v>0.47999999999956344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50161.42</v>
      </c>
      <c r="D1054" s="2">
        <f>BILANCA!E49</f>
        <v>50161.42</v>
      </c>
      <c r="E1054" s="2">
        <v>0</v>
      </c>
      <c r="F1054" s="2">
        <v>0</v>
      </c>
      <c r="G1054" s="3">
        <f t="shared" si="38"/>
        <v>6621.3074400000005</v>
      </c>
      <c r="H1054" s="3">
        <f t="shared" si="35"/>
        <v>0.83999999999650754</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56344.31</v>
      </c>
      <c r="D1055" s="2">
        <f>BILANCA!E50</f>
        <v>57377.599999999999</v>
      </c>
      <c r="E1055" s="2">
        <v>0</v>
      </c>
      <c r="F1055" s="2">
        <v>0</v>
      </c>
      <c r="G1055" s="3">
        <f t="shared" si="38"/>
        <v>7699.4779499999986</v>
      </c>
      <c r="H1055" s="3">
        <f t="shared" si="35"/>
        <v>0.70999999999912689</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17927.740000000002</v>
      </c>
      <c r="D1059" s="2">
        <f>BILANCA!E54</f>
        <v>19971.36</v>
      </c>
      <c r="E1059" s="2">
        <v>0</v>
      </c>
      <c r="F1059" s="2">
        <v>0</v>
      </c>
      <c r="G1059" s="3">
        <f t="shared" si="38"/>
        <v>2835.65254</v>
      </c>
      <c r="H1059" s="3">
        <f t="shared" si="35"/>
        <v>0.61999999999898137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17927.740000000002</v>
      </c>
      <c r="D1060" s="2">
        <f>BILANCA!E55</f>
        <v>19971.36</v>
      </c>
      <c r="E1060" s="2">
        <v>0</v>
      </c>
      <c r="F1060" s="2">
        <v>0</v>
      </c>
      <c r="G1060" s="3">
        <f t="shared" si="38"/>
        <v>2893.5230000000001</v>
      </c>
      <c r="H1060" s="3">
        <f t="shared" si="35"/>
        <v>0.61999999999898137</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282473.74</v>
      </c>
      <c r="D1061" s="2">
        <f>BILANCA!E56</f>
        <v>228588.44</v>
      </c>
      <c r="E1061" s="2">
        <v>0</v>
      </c>
      <c r="F1061" s="2">
        <v>0</v>
      </c>
      <c r="G1061" s="3">
        <f t="shared" si="38"/>
        <v>37722.181620000003</v>
      </c>
      <c r="H1061" s="3">
        <f t="shared" si="35"/>
        <v>0.70000000001164153</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80516</v>
      </c>
      <c r="D1062" s="2">
        <f>BILANCA!E57</f>
        <v>26630.7</v>
      </c>
      <c r="E1062" s="2">
        <v>0</v>
      </c>
      <c r="F1062" s="2">
        <v>0</v>
      </c>
      <c r="G1062" s="3">
        <f t="shared" si="38"/>
        <v>6956.4247999999989</v>
      </c>
      <c r="H1062" s="3">
        <f t="shared" si="35"/>
        <v>0.2999999999992724</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183220.24</v>
      </c>
      <c r="D1063" s="2">
        <f>BILANCA!E58</f>
        <v>183220.24</v>
      </c>
      <c r="E1063" s="2">
        <v>0</v>
      </c>
      <c r="F1063" s="2">
        <v>0</v>
      </c>
      <c r="G1063" s="3">
        <f t="shared" si="38"/>
        <v>29132.018159999996</v>
      </c>
      <c r="H1063" s="3">
        <f t="shared" si="35"/>
        <v>0.47999999998137355</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18737.5</v>
      </c>
      <c r="D1066" s="2">
        <f>BILANCA!E61</f>
        <v>18737.5</v>
      </c>
      <c r="E1066" s="2">
        <v>0</v>
      </c>
      <c r="F1066" s="2">
        <v>0</v>
      </c>
      <c r="G1066" s="3">
        <f t="shared" si="38"/>
        <v>3147.8999999999996</v>
      </c>
      <c r="H1066" s="3">
        <f t="shared" si="35"/>
        <v>1</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542846.81000000006</v>
      </c>
      <c r="D1074" s="2">
        <f>BILANCA!E69</f>
        <v>625855.87</v>
      </c>
      <c r="E1074" s="2">
        <v>0</v>
      </c>
      <c r="F1074" s="2">
        <v>0</v>
      </c>
      <c r="G1074" s="3">
        <f t="shared" si="38"/>
        <v>114851.74720000001</v>
      </c>
      <c r="H1074" s="3">
        <f t="shared" si="35"/>
        <v>0.31999999994877726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25821.649999999998</v>
      </c>
      <c r="D1075" s="2">
        <f>BILANCA!E70</f>
        <v>136276.74</v>
      </c>
      <c r="E1075" s="2">
        <v>0</v>
      </c>
      <c r="F1075" s="2">
        <v>0</v>
      </c>
      <c r="G1075" s="3">
        <f t="shared" si="38"/>
        <v>19394.383450000001</v>
      </c>
      <c r="H1075" s="3">
        <f t="shared" si="35"/>
        <v>0.61000000001149601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25781.19</v>
      </c>
      <c r="D1076" s="2">
        <f>BILANCA!E71</f>
        <v>136180.22</v>
      </c>
      <c r="E1076" s="2">
        <v>0</v>
      </c>
      <c r="F1076" s="2">
        <v>0</v>
      </c>
      <c r="G1076" s="3">
        <f t="shared" si="38"/>
        <v>19677.347580000001</v>
      </c>
      <c r="H1076" s="3">
        <f t="shared" si="35"/>
        <v>0.40999999999985448</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25781.19</v>
      </c>
      <c r="D1078" s="2">
        <f>BILANCA!E73</f>
        <v>136180.22</v>
      </c>
      <c r="E1078" s="2">
        <v>0</v>
      </c>
      <c r="F1078" s="2">
        <v>0</v>
      </c>
      <c r="G1078" s="3">
        <f t="shared" si="38"/>
        <v>20273.630840000002</v>
      </c>
      <c r="H1078" s="3">
        <f t="shared" si="35"/>
        <v>0.40999999999985448</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40.46</v>
      </c>
      <c r="D1085" s="2">
        <f>BILANCA!E80</f>
        <v>96.52</v>
      </c>
      <c r="E1085" s="2">
        <v>0</v>
      </c>
      <c r="F1085" s="2">
        <v>0</v>
      </c>
      <c r="G1085" s="3">
        <f t="shared" si="38"/>
        <v>17.512499999999999</v>
      </c>
      <c r="H1085" s="3">
        <f t="shared" si="35"/>
        <v>0.94000000000000483</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38330.94</v>
      </c>
      <c r="D1087" s="2">
        <f>BILANCA!E82</f>
        <v>0</v>
      </c>
      <c r="E1087" s="2">
        <v>0</v>
      </c>
      <c r="F1087" s="2">
        <v>0</v>
      </c>
      <c r="G1087" s="3">
        <f t="shared" si="38"/>
        <v>2951.4823799999999</v>
      </c>
      <c r="H1087" s="3">
        <f t="shared" si="35"/>
        <v>5.9999999997671694E-2</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38330.94</v>
      </c>
      <c r="D1092" s="2">
        <f>BILANCA!E87</f>
        <v>0</v>
      </c>
      <c r="E1092" s="2">
        <v>0</v>
      </c>
      <c r="F1092" s="2">
        <v>0</v>
      </c>
      <c r="G1092" s="3">
        <f t="shared" si="38"/>
        <v>3143.1370800000004</v>
      </c>
      <c r="H1092" s="3">
        <f t="shared" si="35"/>
        <v>5.9999999997671694E-2</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473108.9</v>
      </c>
      <c r="D1140" s="2">
        <f>BILANCA!E135</f>
        <v>473108.9</v>
      </c>
      <c r="E1140" s="2">
        <v>0</v>
      </c>
      <c r="F1140" s="2">
        <v>0</v>
      </c>
      <c r="G1140" s="3">
        <f t="shared" si="38"/>
        <v>184512.47100000002</v>
      </c>
      <c r="H1140" s="3">
        <f t="shared" si="41"/>
        <v>0.19999999995343387</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473108.9</v>
      </c>
      <c r="D1141" s="2">
        <f>BILANCA!E136</f>
        <v>473108.9</v>
      </c>
      <c r="E1141" s="2">
        <v>0</v>
      </c>
      <c r="F1141" s="2">
        <v>0</v>
      </c>
      <c r="G1141" s="3">
        <f t="shared" si="38"/>
        <v>185931.79770000002</v>
      </c>
      <c r="H1141" s="3">
        <f t="shared" si="41"/>
        <v>0.19999999995343387</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473108.9</v>
      </c>
      <c r="D1145" s="2">
        <f>BILANCA!E140</f>
        <v>473108.9</v>
      </c>
      <c r="E1145" s="2">
        <v>0</v>
      </c>
      <c r="F1145" s="2">
        <v>0</v>
      </c>
      <c r="G1145" s="3">
        <f t="shared" si="38"/>
        <v>191609.10450000002</v>
      </c>
      <c r="H1145" s="3">
        <f t="shared" si="41"/>
        <v>0.19999999995343387</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4577.2800000000007</v>
      </c>
      <c r="D1152" s="2">
        <f>BILANCA!E147</f>
        <v>15581.220000000001</v>
      </c>
      <c r="E1152" s="2">
        <v>0</v>
      </c>
      <c r="F1152" s="2">
        <v>0</v>
      </c>
      <c r="G1152" s="3">
        <f t="shared" si="38"/>
        <v>5075.0402399999994</v>
      </c>
      <c r="H1152" s="3">
        <f t="shared" si="41"/>
        <v>0.50000000000181899</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476.93</v>
      </c>
      <c r="D1153" s="2">
        <f>BILANCA!E148</f>
        <v>6280.59</v>
      </c>
      <c r="E1153" s="2">
        <v>0</v>
      </c>
      <c r="F1153" s="2">
        <v>0</v>
      </c>
      <c r="G1153" s="3">
        <f t="shared" si="38"/>
        <v>1864.44973</v>
      </c>
      <c r="H1153" s="3">
        <f t="shared" si="41"/>
        <v>0.47999999999984766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4204.9799999999996</v>
      </c>
      <c r="D1164" s="2">
        <f>BILANCA!E159</f>
        <v>4196.32</v>
      </c>
      <c r="E1164" s="2">
        <v>0</v>
      </c>
      <c r="F1164" s="2">
        <v>0</v>
      </c>
      <c r="G1164" s="3">
        <f t="shared" si="38"/>
        <v>1940.0334799999996</v>
      </c>
      <c r="H1164" s="3">
        <f t="shared" si="41"/>
        <v>0.34000000000014552</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6401.6</v>
      </c>
      <c r="D1165" s="2">
        <f>BILANCA!E160</f>
        <v>7456.67</v>
      </c>
      <c r="E1165" s="2">
        <v>0</v>
      </c>
      <c r="F1165" s="2">
        <v>0</v>
      </c>
      <c r="G1165" s="3">
        <f t="shared" si="38"/>
        <v>3303.8157000000001</v>
      </c>
      <c r="H1165" s="3">
        <f t="shared" si="41"/>
        <v>0.72999999999956344</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6506.23</v>
      </c>
      <c r="D1169" s="2">
        <f>BILANCA!E164</f>
        <v>2352.36</v>
      </c>
      <c r="E1169" s="2">
        <v>0</v>
      </c>
      <c r="F1169" s="2">
        <v>0</v>
      </c>
      <c r="G1169" s="3">
        <f t="shared" si="38"/>
        <v>1782.54105</v>
      </c>
      <c r="H1169" s="3">
        <f t="shared" si="41"/>
        <v>0.58999999999969077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1008.04</v>
      </c>
      <c r="D1170" s="2">
        <f>BILANCA!E165</f>
        <v>889.01</v>
      </c>
      <c r="E1170" s="2">
        <v>0</v>
      </c>
      <c r="F1170" s="2">
        <v>0</v>
      </c>
      <c r="G1170" s="3">
        <f t="shared" si="38"/>
        <v>445.76959999999997</v>
      </c>
      <c r="H1170" s="3">
        <f t="shared" si="41"/>
        <v>4.9999999999954525E-2</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1008.04</v>
      </c>
      <c r="D1172" s="2">
        <f>BILANCA!E167</f>
        <v>889.01</v>
      </c>
      <c r="E1172" s="2">
        <v>0</v>
      </c>
      <c r="F1172" s="2">
        <v>0</v>
      </c>
      <c r="G1172" s="3">
        <f t="shared" si="38"/>
        <v>451.34172000000001</v>
      </c>
      <c r="H1172" s="3">
        <f t="shared" si="41"/>
        <v>4.9999999999954525E-2</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7145886.1000000006</v>
      </c>
      <c r="D1180" s="2">
        <f>BILANCA!E176</f>
        <v>7322091.1100000003</v>
      </c>
      <c r="E1180" s="2">
        <v>0</v>
      </c>
      <c r="F1180" s="2">
        <v>0</v>
      </c>
      <c r="G1180" s="3">
        <f t="shared" si="38"/>
        <v>3704311.6144000003</v>
      </c>
      <c r="H1180" s="3">
        <f t="shared" si="41"/>
        <v>0.21000000089406967</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921030.9</v>
      </c>
      <c r="D1181" s="2">
        <f>BILANCA!E177</f>
        <v>954312.7</v>
      </c>
      <c r="E1181" s="2">
        <v>0</v>
      </c>
      <c r="F1181" s="2">
        <v>0</v>
      </c>
      <c r="G1181" s="3">
        <f t="shared" si="38"/>
        <v>483871.22730000003</v>
      </c>
      <c r="H1181" s="3">
        <f t="shared" si="41"/>
        <v>0.40000000002328306</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297227.13</v>
      </c>
      <c r="D1182" s="2">
        <f>BILANCA!E178</f>
        <v>51084.59</v>
      </c>
      <c r="E1182" s="2">
        <v>0</v>
      </c>
      <c r="F1182" s="2">
        <v>0</v>
      </c>
      <c r="G1182" s="3">
        <f t="shared" si="38"/>
        <v>68696.16532</v>
      </c>
      <c r="H1182" s="3">
        <f t="shared" si="41"/>
        <v>0.54000000000814907</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9730.75</v>
      </c>
      <c r="D1183" s="2">
        <f>BILANCA!E179</f>
        <v>13826.75</v>
      </c>
      <c r="E1183" s="2">
        <v>0</v>
      </c>
      <c r="F1183" s="2">
        <v>0</v>
      </c>
      <c r="G1183" s="3">
        <f t="shared" si="38"/>
        <v>6467.4752499999995</v>
      </c>
      <c r="H1183" s="3">
        <f t="shared" si="41"/>
        <v>0.5</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130031.27</v>
      </c>
      <c r="D1184" s="2">
        <f>BILANCA!E180</f>
        <v>20989.599999999999</v>
      </c>
      <c r="E1184" s="2">
        <v>0</v>
      </c>
      <c r="F1184" s="2">
        <v>0</v>
      </c>
      <c r="G1184" s="3">
        <f t="shared" si="38"/>
        <v>29929.821779999998</v>
      </c>
      <c r="H1184" s="3">
        <f t="shared" si="41"/>
        <v>0.67000000000552973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120</v>
      </c>
      <c r="E1190" s="2">
        <v>0</v>
      </c>
      <c r="F1190" s="2">
        <v>0</v>
      </c>
      <c r="G1190" s="3">
        <f>B1190/1000*C1190+B1190/500*D1190</f>
        <v>43.199999999999996</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120</v>
      </c>
      <c r="E1194" s="2">
        <v>0</v>
      </c>
      <c r="F1194" s="2">
        <v>0</v>
      </c>
      <c r="G1194" s="3">
        <f t="shared" si="42"/>
        <v>44.16</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3175.39</v>
      </c>
      <c r="D1198" s="2">
        <f>BILANCA!E194</f>
        <v>919.4</v>
      </c>
      <c r="E1198" s="2">
        <v>0</v>
      </c>
      <c r="F1198" s="2">
        <v>0</v>
      </c>
      <c r="G1198" s="3">
        <f t="shared" si="38"/>
        <v>942.66771999999992</v>
      </c>
      <c r="H1198" s="3">
        <f t="shared" si="41"/>
        <v>0.78999999999984993</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14375.05</v>
      </c>
      <c r="E1199" s="2">
        <v>0</v>
      </c>
      <c r="F1199" s="2">
        <v>0</v>
      </c>
      <c r="G1199" s="3">
        <f t="shared" si="38"/>
        <v>5433.7689</v>
      </c>
      <c r="H1199" s="3">
        <f t="shared" si="41"/>
        <v>4.9999999999272404E-2</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154289.72</v>
      </c>
      <c r="D1200" s="2">
        <f>BILANCA!E196</f>
        <v>853.79</v>
      </c>
      <c r="E1200" s="2">
        <v>0</v>
      </c>
      <c r="F1200" s="2">
        <v>0</v>
      </c>
      <c r="G1200" s="3">
        <f t="shared" si="38"/>
        <v>29639.487000000001</v>
      </c>
      <c r="H1200" s="3">
        <f t="shared" si="41"/>
        <v>0.48999999999887223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101645.56</v>
      </c>
      <c r="D1201" s="2">
        <f>BILANCA!E197</f>
        <v>17105</v>
      </c>
      <c r="E1201" s="2">
        <v>0</v>
      </c>
      <c r="F1201" s="2">
        <v>0</v>
      </c>
      <c r="G1201" s="3">
        <f t="shared" si="38"/>
        <v>25948.411960000001</v>
      </c>
      <c r="H1201" s="3">
        <f t="shared" si="41"/>
        <v>0.44000000000232831</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88893.68</v>
      </c>
      <c r="D1203" s="2">
        <f>BILANCA!E199</f>
        <v>0</v>
      </c>
      <c r="E1203" s="2">
        <v>0</v>
      </c>
      <c r="F1203" s="2">
        <v>0</v>
      </c>
      <c r="G1203" s="3">
        <f t="shared" si="44"/>
        <v>17156.480240000001</v>
      </c>
      <c r="H1203" s="3">
        <f t="shared" si="45"/>
        <v>0.32000000000698492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12751.88</v>
      </c>
      <c r="D1206" s="2">
        <f>BILANCA!E202</f>
        <v>17105</v>
      </c>
      <c r="E1206" s="2">
        <v>0</v>
      </c>
      <c r="F1206" s="2">
        <v>0</v>
      </c>
      <c r="G1206" s="3">
        <f t="shared" si="44"/>
        <v>9204.5284800000009</v>
      </c>
      <c r="H1206" s="3">
        <f t="shared" si="45"/>
        <v>0.12000000000080036</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522158.21</v>
      </c>
      <c r="D1223" s="2">
        <f>BILANCA!E219</f>
        <v>881498.87</v>
      </c>
      <c r="E1223" s="2">
        <v>0</v>
      </c>
      <c r="F1223" s="2">
        <v>0</v>
      </c>
      <c r="G1223" s="3">
        <f t="shared" si="38"/>
        <v>486738.21734999999</v>
      </c>
      <c r="H1223" s="3">
        <f t="shared" si="41"/>
        <v>0.34000000002561137</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522158.21</v>
      </c>
      <c r="D1224" s="2">
        <f>BILANCA!E220</f>
        <v>881498.87</v>
      </c>
      <c r="E1224" s="2">
        <v>0</v>
      </c>
      <c r="F1224" s="2">
        <v>0</v>
      </c>
      <c r="G1224" s="3">
        <f t="shared" si="38"/>
        <v>489023.37329999998</v>
      </c>
      <c r="H1224" s="3">
        <f t="shared" si="41"/>
        <v>0.34000000002561137</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522158.21</v>
      </c>
      <c r="D1229" s="2">
        <f>BILANCA!E225</f>
        <v>881498.87</v>
      </c>
      <c r="E1229" s="2">
        <v>0</v>
      </c>
      <c r="F1229" s="2">
        <v>0</v>
      </c>
      <c r="G1229" s="3">
        <f t="shared" si="38"/>
        <v>500449.15304999996</v>
      </c>
      <c r="H1229" s="3">
        <f t="shared" si="41"/>
        <v>0.34000000002561137</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4624.24</v>
      </c>
      <c r="E1251" s="2">
        <v>0</v>
      </c>
      <c r="F1251" s="2">
        <v>0</v>
      </c>
      <c r="G1251" s="3">
        <f>B1251/1000*C1251+B1251/500*D1251</f>
        <v>2228.8836799999999</v>
      </c>
      <c r="H1251" s="3">
        <f>ABS(C1251-ROUND(C1251,0))+ABS(D1251-ROUND(D1251,0))</f>
        <v>0.23999999999978172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6224855.2000000002</v>
      </c>
      <c r="D1255" s="2">
        <f>BILANCA!E251</f>
        <v>6367778.4100000001</v>
      </c>
      <c r="E1255" s="2">
        <v>0</v>
      </c>
      <c r="F1255" s="2">
        <v>0</v>
      </c>
      <c r="G1255" s="3">
        <f t="shared" si="38"/>
        <v>4645300.9448999995</v>
      </c>
      <c r="H1255" s="3">
        <f t="shared" si="41"/>
        <v>0.61000000033527613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6553989.96</v>
      </c>
      <c r="D1256" s="2">
        <f>BILANCA!E252</f>
        <v>6283172.7300000004</v>
      </c>
      <c r="E1256" s="2">
        <v>0</v>
      </c>
      <c r="F1256" s="2">
        <v>0</v>
      </c>
      <c r="G1256" s="3">
        <f t="shared" si="38"/>
        <v>4703602.5133200008</v>
      </c>
      <c r="H1256" s="3">
        <f t="shared" si="41"/>
        <v>0.30999999959021807</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7076148.1699999999</v>
      </c>
      <c r="D1257" s="2">
        <f>BILANCA!E253</f>
        <v>7164664.4100000001</v>
      </c>
      <c r="E1257" s="2">
        <v>0</v>
      </c>
      <c r="F1257" s="2">
        <v>0</v>
      </c>
      <c r="G1257" s="3">
        <f t="shared" si="38"/>
        <v>5287152.8165300004</v>
      </c>
      <c r="H1257" s="3">
        <f t="shared" si="41"/>
        <v>0.58000000007450581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522158.21</v>
      </c>
      <c r="D1258" s="2">
        <f>BILANCA!E254</f>
        <v>881491.68</v>
      </c>
      <c r="E1258" s="2">
        <v>0</v>
      </c>
      <c r="F1258" s="2">
        <v>0</v>
      </c>
      <c r="G1258" s="3">
        <f t="shared" si="38"/>
        <v>566715.10936</v>
      </c>
      <c r="H1258" s="3">
        <f t="shared" si="41"/>
        <v>0.52999999996973202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-333328.5</v>
      </c>
      <c r="D1259" s="2">
        <f>BILANCA!E255</f>
        <v>73615.419999999984</v>
      </c>
      <c r="E1259" s="2">
        <v>0</v>
      </c>
      <c r="F1259" s="2">
        <v>0</v>
      </c>
      <c r="G1259" s="3">
        <f t="shared" si="38"/>
        <v>-46338.317340000001</v>
      </c>
      <c r="H1259" s="3">
        <f t="shared" si="41"/>
        <v>0.91999999998370185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120895.15</v>
      </c>
      <c r="D1260" s="2">
        <f>BILANCA!E256</f>
        <v>264191.31</v>
      </c>
      <c r="E1260" s="2">
        <v>0</v>
      </c>
      <c r="F1260" s="2">
        <v>0</v>
      </c>
      <c r="G1260" s="3">
        <f t="shared" si="38"/>
        <v>162319.4425</v>
      </c>
      <c r="H1260" s="3">
        <f t="shared" si="41"/>
        <v>0.45999999999185093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120895.15</v>
      </c>
      <c r="D1261" s="2">
        <f>BILANCA!E257</f>
        <v>102805.82</v>
      </c>
      <c r="E1261" s="2">
        <v>0</v>
      </c>
      <c r="F1261" s="2">
        <v>0</v>
      </c>
      <c r="G1261" s="3">
        <f t="shared" si="38"/>
        <v>81953.204290000009</v>
      </c>
      <c r="H1261" s="3">
        <f t="shared" si="41"/>
        <v>0.32999999998719431</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161385.49</v>
      </c>
      <c r="E1263" s="2">
        <v>0</v>
      </c>
      <c r="F1263" s="2">
        <v>0</v>
      </c>
      <c r="G1263" s="3">
        <f t="shared" si="38"/>
        <v>81661.057939999999</v>
      </c>
      <c r="H1263" s="3">
        <f t="shared" si="41"/>
        <v>0.48999999999068677</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454223.65</v>
      </c>
      <c r="D1264" s="2">
        <f>BILANCA!E260</f>
        <v>190575.89</v>
      </c>
      <c r="E1264" s="2">
        <v>0</v>
      </c>
      <c r="F1264" s="2">
        <v>0</v>
      </c>
      <c r="G1264" s="3">
        <f t="shared" si="38"/>
        <v>212185.35922000001</v>
      </c>
      <c r="H1264" s="3">
        <f t="shared" si="41"/>
        <v>0.4599999999627471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282056.86</v>
      </c>
      <c r="D1266" s="2">
        <f>BILANCA!E262</f>
        <v>190575.89</v>
      </c>
      <c r="E1266" s="2">
        <v>0</v>
      </c>
      <c r="F1266" s="2">
        <v>0</v>
      </c>
      <c r="G1266" s="3">
        <f t="shared" si="38"/>
        <v>169781.41184000002</v>
      </c>
      <c r="H1266" s="3">
        <f t="shared" si="41"/>
        <v>0.25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172166.79</v>
      </c>
      <c r="D1267" s="2">
        <f>BILANCA!E263</f>
        <v>0</v>
      </c>
      <c r="E1267" s="2">
        <v>0</v>
      </c>
      <c r="F1267" s="2">
        <v>0</v>
      </c>
      <c r="G1267" s="3">
        <f t="shared" si="38"/>
        <v>44246.865030000001</v>
      </c>
      <c r="H1267" s="3">
        <f t="shared" si="41"/>
        <v>0.20999999999185093</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3740.0699999999997</v>
      </c>
      <c r="D1278" s="2">
        <f>BILANCA!E274</f>
        <v>10590.14</v>
      </c>
      <c r="E1278" s="2">
        <v>0</v>
      </c>
      <c r="F1278" s="2">
        <v>0</v>
      </c>
      <c r="G1278" s="3">
        <f t="shared" si="38"/>
        <v>6678.6538</v>
      </c>
      <c r="H1278" s="3">
        <f t="shared" si="41"/>
        <v>0.20999999999912689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53.39</v>
      </c>
      <c r="D1279" s="2">
        <f>BILANCA!E275</f>
        <v>5857.05</v>
      </c>
      <c r="E1279" s="2">
        <v>0</v>
      </c>
      <c r="F1279" s="2">
        <v>0</v>
      </c>
      <c r="G1279" s="3">
        <f t="shared" ref="G1279:G1294" si="48">B1279/1000*C1279+B1279/500*D1279</f>
        <v>3165.4548100000002</v>
      </c>
      <c r="H1279" s="3">
        <f t="shared" ref="H1279:H1294" si="49">ABS(C1279-ROUND(C1279,0))+ABS(D1279-ROUND(D1279,0))</f>
        <v>0.44000000000018247</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3686.68</v>
      </c>
      <c r="D1290" s="2">
        <f>BILANCA!E286</f>
        <v>3725.61</v>
      </c>
      <c r="E1290" s="2">
        <v>0</v>
      </c>
      <c r="F1290" s="2">
        <v>0</v>
      </c>
      <c r="G1290" s="3">
        <f t="shared" si="48"/>
        <v>3118.6120000000001</v>
      </c>
      <c r="H1290" s="3">
        <f t="shared" si="49"/>
        <v>0.71000000000003638</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1007.48</v>
      </c>
      <c r="E1291" s="2">
        <v>0</v>
      </c>
      <c r="F1291" s="2">
        <v>0</v>
      </c>
      <c r="G1291" s="3">
        <f t="shared" si="48"/>
        <v>566.2037600000001</v>
      </c>
      <c r="H1291" s="3">
        <f t="shared" si="49"/>
        <v>0.48000000000001819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453.67</v>
      </c>
      <c r="D1295" s="2">
        <f>BILANCA!E291</f>
        <v>400.12</v>
      </c>
      <c r="E1295" s="2">
        <v>0</v>
      </c>
      <c r="F1295" s="2">
        <v>0</v>
      </c>
      <c r="G1295" s="3">
        <f t="shared" si="38"/>
        <v>357.36435</v>
      </c>
      <c r="H1295" s="3">
        <f t="shared" si="41"/>
        <v>0.44999999999998863</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453.67</v>
      </c>
      <c r="D1297" s="2">
        <f>BILANCA!E293</f>
        <v>400.12</v>
      </c>
      <c r="E1297" s="2">
        <v>0</v>
      </c>
      <c r="F1297" s="2">
        <v>0</v>
      </c>
      <c r="G1297" s="3">
        <f t="shared" si="50"/>
        <v>359.87216999999998</v>
      </c>
      <c r="H1297" s="3">
        <f t="shared" si="51"/>
        <v>0.44999999999998863</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1189050.28</v>
      </c>
      <c r="D1301" s="2">
        <f>BILANCA!E297</f>
        <v>1369050.28</v>
      </c>
      <c r="E1301" s="2">
        <v>0</v>
      </c>
      <c r="F1301" s="2">
        <v>0</v>
      </c>
      <c r="G1301" s="3">
        <f t="shared" si="38"/>
        <v>1142800.8944399999</v>
      </c>
      <c r="H1301" s="3">
        <f t="shared" si="41"/>
        <v>0.56000000005587935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1189050.28</v>
      </c>
      <c r="D1302" s="2">
        <f>BILANCA!E298</f>
        <v>1369050.28</v>
      </c>
      <c r="E1302" s="2">
        <v>0</v>
      </c>
      <c r="F1302" s="2">
        <v>0</v>
      </c>
      <c r="G1302" s="3">
        <f t="shared" si="38"/>
        <v>1146728.04528</v>
      </c>
      <c r="H1302" s="3">
        <f t="shared" si="41"/>
        <v>0.56000000005587935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11083.51</v>
      </c>
      <c r="D1305" s="2">
        <f>BILANCA!E302</f>
        <v>11816.74</v>
      </c>
      <c r="E1305" s="2">
        <v>0</v>
      </c>
      <c r="F1305" s="2">
        <v>0</v>
      </c>
      <c r="G1305" s="3">
        <f t="shared" si="38"/>
        <v>10241.512049999999</v>
      </c>
      <c r="H1305" s="3">
        <f t="shared" si="41"/>
        <v>0.75</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6116.84</v>
      </c>
      <c r="E1306" s="2">
        <v>0</v>
      </c>
      <c r="F1306" s="2">
        <v>0</v>
      </c>
      <c r="G1306" s="3">
        <f t="shared" si="38"/>
        <v>3621.1692800000001</v>
      </c>
      <c r="H1306" s="3">
        <f t="shared" si="41"/>
        <v>0.15999999999985448</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1008.04</v>
      </c>
      <c r="D1308" s="2">
        <f>BILANCA!E305</f>
        <v>889.01</v>
      </c>
      <c r="E1308" s="2">
        <v>0</v>
      </c>
      <c r="F1308" s="2">
        <v>0</v>
      </c>
      <c r="G1308" s="3">
        <f t="shared" ref="G1308:G1581" si="52">B1308/1000*C1308+B1308/500*D1308</f>
        <v>830.24587999999994</v>
      </c>
      <c r="H1308" s="3">
        <f t="shared" si="41"/>
        <v>4.9999999999954525E-2</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38330.94</v>
      </c>
      <c r="D1312" s="2">
        <f>BILANCA!E309</f>
        <v>0</v>
      </c>
      <c r="E1312" s="2">
        <v>0</v>
      </c>
      <c r="F1312" s="2">
        <v>0</v>
      </c>
      <c r="G1312" s="3">
        <f t="shared" si="52"/>
        <v>11575.943880000001</v>
      </c>
      <c r="H1312" s="3">
        <f t="shared" si="41"/>
        <v>5.9999999997671694E-2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91104.39</v>
      </c>
      <c r="D1339" s="2">
        <f>BILANCA!E336</f>
        <v>16907.14</v>
      </c>
      <c r="E1339" s="2">
        <v>0</v>
      </c>
      <c r="F1339" s="2">
        <v>0</v>
      </c>
      <c r="G1339" s="3">
        <f t="shared" si="52"/>
        <v>41098.242429999998</v>
      </c>
      <c r="H1339" s="3">
        <f t="shared" si="41"/>
        <v>0.52999999999883585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206122.74</v>
      </c>
      <c r="D1340" s="2">
        <f>BILANCA!E337</f>
        <v>34177.449999999997</v>
      </c>
      <c r="E1340" s="2">
        <v>0</v>
      </c>
      <c r="F1340" s="2">
        <v>0</v>
      </c>
      <c r="G1340" s="3">
        <f t="shared" si="52"/>
        <v>90577.621199999994</v>
      </c>
      <c r="H1340" s="3">
        <f t="shared" si="41"/>
        <v>0.71000000000640284</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98739.31</v>
      </c>
      <c r="D1341" s="2">
        <f>BILANCA!E338</f>
        <v>17105</v>
      </c>
      <c r="E1341" s="2">
        <v>0</v>
      </c>
      <c r="F1341" s="2">
        <v>0</v>
      </c>
      <c r="G1341" s="3">
        <f t="shared" si="52"/>
        <v>44006.221610000001</v>
      </c>
      <c r="H1341" s="3">
        <f t="shared" si="41"/>
        <v>0.30999999999767169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2906.25</v>
      </c>
      <c r="D1342" s="2">
        <f>BILANCA!E339</f>
        <v>0</v>
      </c>
      <c r="E1342" s="2">
        <v>0</v>
      </c>
      <c r="F1342" s="2">
        <v>0</v>
      </c>
      <c r="G1342" s="3">
        <f t="shared" si="52"/>
        <v>964.875</v>
      </c>
      <c r="H1342" s="3">
        <f t="shared" si="41"/>
        <v>0.25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522158.21</v>
      </c>
      <c r="D1346" s="2">
        <f>BILANCA!E343</f>
        <v>881498.87</v>
      </c>
      <c r="E1346" s="2">
        <v>0</v>
      </c>
      <c r="F1346" s="2">
        <v>0</v>
      </c>
      <c r="G1346" s="3">
        <f t="shared" si="52"/>
        <v>767812.3992000001</v>
      </c>
      <c r="H1346" s="3">
        <f t="shared" si="41"/>
        <v>0.34000000002561137</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151057.18</v>
      </c>
      <c r="D1347" s="2">
        <f>BILANCA!E344</f>
        <v>853.79</v>
      </c>
      <c r="E1347" s="2">
        <v>0</v>
      </c>
      <c r="F1347" s="2">
        <v>0</v>
      </c>
      <c r="G1347" s="3">
        <f t="shared" si="52"/>
        <v>51481.724119999999</v>
      </c>
      <c r="H1347" s="3">
        <f t="shared" si="41"/>
        <v>0.38999999999305146</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4624.24</v>
      </c>
      <c r="E1371" s="2">
        <v>0</v>
      </c>
      <c r="F1371" s="2">
        <v>0</v>
      </c>
      <c r="G1371" s="3">
        <f t="shared" si="57"/>
        <v>3338.7012799999998</v>
      </c>
      <c r="H1371" s="3">
        <f t="shared" si="58"/>
        <v>0.23999999999978172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1189050.28</v>
      </c>
      <c r="D1400" s="14">
        <f>BILANCA!E397</f>
        <v>1369050.28</v>
      </c>
      <c r="E1400" s="14">
        <v>0</v>
      </c>
      <c r="F1400" s="14">
        <v>0</v>
      </c>
      <c r="G1400" s="15">
        <f t="shared" si="52"/>
        <v>1531588.8276000002</v>
      </c>
      <c r="H1400" s="15">
        <f t="shared" si="41"/>
        <v>0.56000000005587935</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320449.65000000002</v>
      </c>
      <c r="D1401" s="7">
        <f>'RAS-funkcijski'!E5</f>
        <v>397929.72</v>
      </c>
      <c r="E1401" s="7">
        <v>0</v>
      </c>
      <c r="F1401" s="7">
        <v>0</v>
      </c>
      <c r="G1401" s="8">
        <f t="shared" si="52"/>
        <v>1116.30909</v>
      </c>
      <c r="H1401" s="8">
        <f t="shared" si="41"/>
        <v>0.63000000000465661</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320449.65000000002</v>
      </c>
      <c r="D1402" s="2">
        <f>'RAS-funkcijski'!E6</f>
        <v>397929.72</v>
      </c>
      <c r="E1402" s="2">
        <v>0</v>
      </c>
      <c r="F1402" s="2">
        <v>0</v>
      </c>
      <c r="G1402" s="3">
        <f t="shared" si="52"/>
        <v>2232.6181799999999</v>
      </c>
      <c r="H1402" s="3">
        <f t="shared" si="41"/>
        <v>0.63000000000465661</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320449.65000000002</v>
      </c>
      <c r="D1403" s="2">
        <f>'RAS-funkcijski'!E7</f>
        <v>397929.72</v>
      </c>
      <c r="E1403" s="2">
        <v>0</v>
      </c>
      <c r="F1403" s="2">
        <v>0</v>
      </c>
      <c r="G1403" s="3">
        <f t="shared" si="52"/>
        <v>3348.9272700000001</v>
      </c>
      <c r="H1403" s="3">
        <f t="shared" si="41"/>
        <v>0.63000000000465661</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t="e">
        <f>'RAS-funkcijski'!#REF!</f>
        <v>#REF!</v>
      </c>
      <c r="E1411" s="2">
        <v>0</v>
      </c>
      <c r="F1411" s="2">
        <v>0</v>
      </c>
      <c r="G1411" s="3" t="e">
        <f t="shared" si="52"/>
        <v>#REF!</v>
      </c>
      <c r="H1411" s="3" t="e">
        <f t="shared" si="41"/>
        <v>#REF!</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61311.33</v>
      </c>
      <c r="D1424" s="2">
        <f>'RAS-funkcijski'!E28</f>
        <v>79828.960000000006</v>
      </c>
      <c r="E1424" s="2">
        <v>0</v>
      </c>
      <c r="F1424" s="2">
        <v>0</v>
      </c>
      <c r="G1424" s="3">
        <f t="shared" si="52"/>
        <v>5303.2620000000006</v>
      </c>
      <c r="H1424" s="3">
        <f t="shared" si="41"/>
        <v>0.36999999999534339</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59926.33</v>
      </c>
      <c r="D1426" s="2">
        <f>'RAS-funkcijski'!E30</f>
        <v>78377.600000000006</v>
      </c>
      <c r="E1426" s="2">
        <v>0</v>
      </c>
      <c r="F1426" s="2">
        <v>0</v>
      </c>
      <c r="G1426" s="3">
        <f t="shared" si="52"/>
        <v>5633.7197800000004</v>
      </c>
      <c r="H1426" s="3">
        <f t="shared" si="41"/>
        <v>0.72999999999592546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1385</v>
      </c>
      <c r="D1430" s="2">
        <f>'RAS-funkcijski'!E34</f>
        <v>1451.36</v>
      </c>
      <c r="E1430" s="2">
        <v>0</v>
      </c>
      <c r="F1430" s="2">
        <v>0</v>
      </c>
      <c r="G1430" s="3">
        <f t="shared" si="52"/>
        <v>128.63159999999999</v>
      </c>
      <c r="H1430" s="3">
        <f t="shared" si="41"/>
        <v>0.35999999999989996</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252468.97</v>
      </c>
      <c r="D1431" s="2">
        <f>'RAS-funkcijski'!E35</f>
        <v>166499.40000000002</v>
      </c>
      <c r="E1431" s="2">
        <v>0</v>
      </c>
      <c r="F1431" s="2">
        <v>0</v>
      </c>
      <c r="G1431" s="3">
        <f t="shared" si="52"/>
        <v>18149.50087</v>
      </c>
      <c r="H1431" s="3">
        <f t="shared" si="41"/>
        <v>0.43000000002211891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1000</v>
      </c>
      <c r="D1432" s="2">
        <f>'RAS-funkcijski'!E36</f>
        <v>1000</v>
      </c>
      <c r="E1432" s="2">
        <v>0</v>
      </c>
      <c r="F1432" s="2">
        <v>0</v>
      </c>
      <c r="G1432" s="3">
        <f t="shared" si="52"/>
        <v>96</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1000</v>
      </c>
      <c r="D1434" s="2">
        <f>'RAS-funkcijski'!E38</f>
        <v>1000</v>
      </c>
      <c r="E1434" s="2">
        <v>0</v>
      </c>
      <c r="F1434" s="2">
        <v>0</v>
      </c>
      <c r="G1434" s="3">
        <f t="shared" si="52"/>
        <v>102</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75602.44</v>
      </c>
      <c r="E1435" s="2">
        <v>0</v>
      </c>
      <c r="F1435" s="2">
        <v>0</v>
      </c>
      <c r="G1435" s="3">
        <f t="shared" si="52"/>
        <v>5292.1708000000008</v>
      </c>
      <c r="H1435" s="3">
        <f t="shared" si="41"/>
        <v>0.44000000000232831</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75602.44</v>
      </c>
      <c r="E1436" s="2">
        <v>0</v>
      </c>
      <c r="F1436" s="2">
        <v>0</v>
      </c>
      <c r="G1436" s="3">
        <f t="shared" si="52"/>
        <v>5443.3756800000001</v>
      </c>
      <c r="H1436" s="3">
        <f t="shared" si="41"/>
        <v>0.44000000000232831</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251468.97</v>
      </c>
      <c r="D1450" s="2">
        <f>'RAS-funkcijski'!E54</f>
        <v>89896.960000000006</v>
      </c>
      <c r="E1450" s="2">
        <v>0</v>
      </c>
      <c r="F1450" s="2">
        <v>0</v>
      </c>
      <c r="G1450" s="3">
        <f t="shared" si="52"/>
        <v>21563.144500000002</v>
      </c>
      <c r="H1450" s="3">
        <f t="shared" si="63"/>
        <v>6.9999999992433004E-2</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251468.97</v>
      </c>
      <c r="D1451" s="2">
        <f>'RAS-funkcijski'!E55</f>
        <v>89896.960000000006</v>
      </c>
      <c r="E1451" s="2">
        <v>0</v>
      </c>
      <c r="F1451" s="2">
        <v>0</v>
      </c>
      <c r="G1451" s="3">
        <f t="shared" si="52"/>
        <v>21994.40739</v>
      </c>
      <c r="H1451" s="3">
        <f t="shared" si="63"/>
        <v>6.9999999992433004E-2</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8173.5999999999995</v>
      </c>
      <c r="D1471" s="2">
        <f>'RAS-funkcijski'!E75</f>
        <v>7722.79</v>
      </c>
      <c r="E1471" s="2">
        <v>0</v>
      </c>
      <c r="F1471" s="2">
        <v>0</v>
      </c>
      <c r="G1471" s="3">
        <f t="shared" si="52"/>
        <v>1676.9617799999999</v>
      </c>
      <c r="H1471" s="3">
        <f t="shared" si="63"/>
        <v>0.61000000000058208</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1750.11</v>
      </c>
      <c r="D1472" s="2">
        <f>'RAS-funkcijski'!E76</f>
        <v>2641.76</v>
      </c>
      <c r="E1472" s="2">
        <v>0</v>
      </c>
      <c r="F1472" s="2">
        <v>0</v>
      </c>
      <c r="G1472" s="3">
        <f t="shared" si="52"/>
        <v>506.42135999999994</v>
      </c>
      <c r="H1472" s="3">
        <f t="shared" si="63"/>
        <v>0.34999999999968168</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6423.49</v>
      </c>
      <c r="D1474" s="2">
        <f>'RAS-funkcijski'!E78</f>
        <v>5081.03</v>
      </c>
      <c r="E1474" s="2">
        <v>0</v>
      </c>
      <c r="F1474" s="2">
        <v>0</v>
      </c>
      <c r="G1474" s="3">
        <f t="shared" si="52"/>
        <v>1227.3306999999998</v>
      </c>
      <c r="H1474" s="3">
        <f t="shared" si="63"/>
        <v>0.51999999999952706</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512498.02</v>
      </c>
      <c r="D1478" s="2">
        <f>'RAS-funkcijski'!E82</f>
        <v>380616.30000000005</v>
      </c>
      <c r="E1478" s="2">
        <v>0</v>
      </c>
      <c r="F1478" s="2">
        <v>0</v>
      </c>
      <c r="G1478" s="3">
        <f t="shared" si="52"/>
        <v>99350.988360000018</v>
      </c>
      <c r="H1478" s="3">
        <f t="shared" si="63"/>
        <v>0.32000000006519258</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13255</v>
      </c>
      <c r="D1479" s="2">
        <f>'RAS-funkcijski'!E83</f>
        <v>0</v>
      </c>
      <c r="E1479" s="2">
        <v>0</v>
      </c>
      <c r="F1479" s="2">
        <v>0</v>
      </c>
      <c r="G1479" s="3">
        <f t="shared" si="52"/>
        <v>1047.145</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424472.43</v>
      </c>
      <c r="D1480" s="2">
        <f>'RAS-funkcijski'!E84</f>
        <v>297939.59000000003</v>
      </c>
      <c r="E1480" s="2">
        <v>0</v>
      </c>
      <c r="F1480" s="2">
        <v>0</v>
      </c>
      <c r="G1480" s="3">
        <f t="shared" si="52"/>
        <v>81628.128800000006</v>
      </c>
      <c r="H1480" s="3">
        <f t="shared" si="63"/>
        <v>0.83999999996740371</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74770.59</v>
      </c>
      <c r="D1482" s="2">
        <f>'RAS-funkcijski'!E86</f>
        <v>82676.710000000006</v>
      </c>
      <c r="E1482" s="2">
        <v>0</v>
      </c>
      <c r="F1482" s="2">
        <v>0</v>
      </c>
      <c r="G1482" s="3">
        <f t="shared" si="52"/>
        <v>19690.168819999999</v>
      </c>
      <c r="H1482" s="3">
        <f t="shared" si="63"/>
        <v>0.69999999999708962</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27034.260000000002</v>
      </c>
      <c r="D1503" s="2">
        <f>'RAS-funkcijski'!E107</f>
        <v>28064.260000000002</v>
      </c>
      <c r="E1503" s="2">
        <v>0</v>
      </c>
      <c r="F1503" s="2">
        <v>0</v>
      </c>
      <c r="G1503" s="3">
        <f t="shared" si="52"/>
        <v>8565.7663400000001</v>
      </c>
      <c r="H1503" s="3">
        <f t="shared" si="63"/>
        <v>0.52000000000407454</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21000</v>
      </c>
      <c r="D1504" s="2">
        <f>'RAS-funkcijski'!E108</f>
        <v>21800</v>
      </c>
      <c r="E1504" s="2">
        <v>0</v>
      </c>
      <c r="F1504" s="2">
        <v>0</v>
      </c>
      <c r="G1504" s="3">
        <f t="shared" si="52"/>
        <v>6718.4</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6034.26</v>
      </c>
      <c r="D1509" s="2">
        <f>'RAS-funkcijski'!E113</f>
        <v>6264.26</v>
      </c>
      <c r="E1509" s="2">
        <v>0</v>
      </c>
      <c r="F1509" s="2">
        <v>0</v>
      </c>
      <c r="G1509" s="3">
        <f t="shared" si="52"/>
        <v>2023.34302</v>
      </c>
      <c r="H1509" s="3">
        <f t="shared" si="63"/>
        <v>0.52000000000043656</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74329.539999999994</v>
      </c>
      <c r="D1510" s="2">
        <f>'RAS-funkcijski'!E114</f>
        <v>79851.48000000001</v>
      </c>
      <c r="E1510" s="2">
        <v>0</v>
      </c>
      <c r="F1510" s="2">
        <v>0</v>
      </c>
      <c r="G1510" s="3">
        <f t="shared" si="52"/>
        <v>25743.575000000004</v>
      </c>
      <c r="H1510" s="3">
        <f t="shared" si="63"/>
        <v>0.94000000001688022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74329.539999999994</v>
      </c>
      <c r="D1511" s="2">
        <f>'RAS-funkcijski'!E115</f>
        <v>79851.48000000001</v>
      </c>
      <c r="E1511" s="2">
        <v>0</v>
      </c>
      <c r="F1511" s="2">
        <v>0</v>
      </c>
      <c r="G1511" s="3">
        <f t="shared" si="52"/>
        <v>25977.607500000002</v>
      </c>
      <c r="H1511" s="3">
        <f t="shared" si="63"/>
        <v>0.94000000001688022</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72620.62</v>
      </c>
      <c r="D1512" s="2">
        <f>'RAS-funkcijski'!E116</f>
        <v>78741.990000000005</v>
      </c>
      <c r="E1512" s="2">
        <v>0</v>
      </c>
      <c r="F1512" s="2">
        <v>0</v>
      </c>
      <c r="G1512" s="3">
        <f t="shared" si="52"/>
        <v>25771.715199999999</v>
      </c>
      <c r="H1512" s="3">
        <f t="shared" si="63"/>
        <v>0.38999999999941792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1708.92</v>
      </c>
      <c r="D1513" s="2">
        <f>'RAS-funkcijski'!E117</f>
        <v>1109.49</v>
      </c>
      <c r="E1513" s="2">
        <v>0</v>
      </c>
      <c r="F1513" s="2">
        <v>0</v>
      </c>
      <c r="G1513" s="3">
        <f t="shared" si="52"/>
        <v>443.85270000000003</v>
      </c>
      <c r="H1513" s="3">
        <f t="shared" si="63"/>
        <v>0.56999999999993634</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42755.59</v>
      </c>
      <c r="D1525" s="2">
        <f>'RAS-funkcijski'!E129</f>
        <v>58145.850000000006</v>
      </c>
      <c r="E1525" s="2">
        <v>0</v>
      </c>
      <c r="F1525" s="2">
        <v>0</v>
      </c>
      <c r="G1525" s="3">
        <f t="shared" si="52"/>
        <v>19880.911250000001</v>
      </c>
      <c r="H1525" s="3">
        <f t="shared" si="63"/>
        <v>0.55999999999767169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3400</v>
      </c>
      <c r="D1531" s="2">
        <f>'RAS-funkcijski'!E135</f>
        <v>7820</v>
      </c>
      <c r="E1531" s="2">
        <v>0</v>
      </c>
      <c r="F1531" s="2">
        <v>0</v>
      </c>
      <c r="G1531" s="3">
        <f t="shared" si="52"/>
        <v>2494.2400000000002</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33955.589999999997</v>
      </c>
      <c r="D1534" s="2">
        <f>'RAS-funkcijski'!E138</f>
        <v>45033.51</v>
      </c>
      <c r="E1534" s="2">
        <v>0</v>
      </c>
      <c r="F1534" s="2">
        <v>0</v>
      </c>
      <c r="G1534" s="3">
        <f t="shared" si="52"/>
        <v>16619.029739999998</v>
      </c>
      <c r="H1534" s="3">
        <f t="shared" si="63"/>
        <v>0.90000000000145519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5400</v>
      </c>
      <c r="D1536" s="2">
        <f>'RAS-funkcijski'!E140</f>
        <v>5292.34</v>
      </c>
      <c r="E1536" s="2">
        <v>0</v>
      </c>
      <c r="F1536" s="2">
        <v>0</v>
      </c>
      <c r="G1536" s="3">
        <f t="shared" si="52"/>
        <v>2173.9164800000003</v>
      </c>
      <c r="H1536" s="3">
        <f t="shared" si="63"/>
        <v>0.34000000000014552</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1299020.9600000002</v>
      </c>
      <c r="D1537" s="14">
        <f>'RAS-funkcijski'!E141</f>
        <v>1198658.7600000002</v>
      </c>
      <c r="E1537" s="14">
        <v>0</v>
      </c>
      <c r="F1537" s="14">
        <v>0</v>
      </c>
      <c r="G1537" s="15">
        <f t="shared" si="52"/>
        <v>506398.37176000013</v>
      </c>
      <c r="H1537" s="15">
        <f t="shared" si="63"/>
        <v>0.27999999956227839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'P-VRIO'!D13</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t="e">
        <f>'P-VRIO'!#REF!</f>
        <v>#REF!</v>
      </c>
      <c r="D1546" s="2">
        <f>'P-VRIO'!E13</f>
        <v>0</v>
      </c>
      <c r="E1546" s="2">
        <v>0</v>
      </c>
      <c r="F1546" s="2">
        <v>0</v>
      </c>
      <c r="G1546" s="3" t="e">
        <f t="shared" si="52"/>
        <v>#REF!</v>
      </c>
      <c r="H1546" s="3" t="e">
        <f t="shared" si="63"/>
        <v>#REF!</v>
      </c>
      <c r="I1546" s="11" t="e">
        <f t="shared" si="64"/>
        <v>#REF!</v>
      </c>
      <c r="J1546" s="3" t="e">
        <f>IF(AND(Skriveni!C1546&lt;&gt;0,Skriveni!D1546&lt;&gt;0),1,0)</f>
        <v>#REF!</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921030.9</v>
      </c>
      <c r="D1582" s="7"/>
      <c r="E1582" s="7">
        <v>0</v>
      </c>
      <c r="F1582" s="7">
        <v>0</v>
      </c>
      <c r="G1582" s="8">
        <f t="shared" ref="G1582:G1686" si="70">B1582/1000*C1582</f>
        <v>921.03090000000009</v>
      </c>
      <c r="H1582" s="8">
        <f t="shared" ref="H1582:H1686" si="71">ABS(C1582-ROUND(C1582,0))</f>
        <v>9.9999999976716936E-2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1619434.51</v>
      </c>
      <c r="D1583" s="2">
        <v>0</v>
      </c>
      <c r="E1583" s="2">
        <v>0</v>
      </c>
      <c r="F1583" s="2">
        <v>0</v>
      </c>
      <c r="G1583" s="3">
        <f t="shared" si="70"/>
        <v>3238.8690200000001</v>
      </c>
      <c r="H1583" s="3">
        <f t="shared" si="71"/>
        <v>0.48999999999068677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844158.28000000014</v>
      </c>
      <c r="D1585" s="2">
        <v>0</v>
      </c>
      <c r="E1585" s="2">
        <v>0</v>
      </c>
      <c r="F1585" s="2">
        <v>0</v>
      </c>
      <c r="G1585" s="3">
        <f t="shared" si="70"/>
        <v>3376.6331200000009</v>
      </c>
      <c r="H1585" s="3">
        <f t="shared" si="71"/>
        <v>0.280000000144355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174985.7</v>
      </c>
      <c r="D1586" s="2">
        <v>0</v>
      </c>
      <c r="E1586" s="2">
        <v>0</v>
      </c>
      <c r="F1586" s="2">
        <v>0</v>
      </c>
      <c r="G1586" s="3">
        <f t="shared" si="70"/>
        <v>874.9285000000001</v>
      </c>
      <c r="H1586" s="3">
        <f t="shared" si="71"/>
        <v>0.29999999998835847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396194.18</v>
      </c>
      <c r="D1587" s="2">
        <v>0</v>
      </c>
      <c r="E1587" s="2">
        <v>0</v>
      </c>
      <c r="F1587" s="2">
        <v>0</v>
      </c>
      <c r="G1587" s="3">
        <f t="shared" si="70"/>
        <v>2377.1650800000002</v>
      </c>
      <c r="H1587" s="3">
        <f t="shared" si="71"/>
        <v>0.17999999999301508</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12041.62</v>
      </c>
      <c r="D1588" s="2">
        <v>0</v>
      </c>
      <c r="E1588" s="2">
        <v>0</v>
      </c>
      <c r="F1588" s="2">
        <v>0</v>
      </c>
      <c r="G1588" s="3">
        <f t="shared" si="70"/>
        <v>84.291340000000005</v>
      </c>
      <c r="H1588" s="3">
        <f t="shared" si="71"/>
        <v>0.37999999999919964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32533.040000000001</v>
      </c>
      <c r="D1590" s="2">
        <v>0</v>
      </c>
      <c r="E1590" s="2">
        <v>0</v>
      </c>
      <c r="F1590" s="2">
        <v>0</v>
      </c>
      <c r="G1590" s="3">
        <f>B1590/1000*C1590</f>
        <v>292.79735999999997</v>
      </c>
      <c r="H1590" s="3">
        <f>ABS(C1590-ROUND(C1590,0))</f>
        <v>4.0000000000873115E-2</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39683.51</v>
      </c>
      <c r="D1591" s="2">
        <v>0</v>
      </c>
      <c r="E1591" s="2">
        <v>0</v>
      </c>
      <c r="F1591" s="2">
        <v>0</v>
      </c>
      <c r="G1591" s="3">
        <f t="shared" si="70"/>
        <v>396.83510000000001</v>
      </c>
      <c r="H1591" s="3">
        <f t="shared" si="71"/>
        <v>0.48999999999796273</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105619.32</v>
      </c>
      <c r="D1592" s="2">
        <v>0</v>
      </c>
      <c r="E1592" s="2">
        <v>0</v>
      </c>
      <c r="F1592" s="2">
        <v>0</v>
      </c>
      <c r="G1592" s="3">
        <f t="shared" si="70"/>
        <v>1161.8125199999999</v>
      </c>
      <c r="H1592" s="3">
        <f t="shared" si="71"/>
        <v>0.32000000000698492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83100.91</v>
      </c>
      <c r="D1593" s="2">
        <v>0</v>
      </c>
      <c r="E1593" s="2">
        <v>0</v>
      </c>
      <c r="F1593" s="2">
        <v>0</v>
      </c>
      <c r="G1593" s="3">
        <f t="shared" si="70"/>
        <v>997.2109200000001</v>
      </c>
      <c r="H1593" s="3">
        <f t="shared" si="71"/>
        <v>8.999999999650754E-2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242548.34</v>
      </c>
      <c r="D1594" s="2">
        <v>0</v>
      </c>
      <c r="E1594" s="2">
        <v>0</v>
      </c>
      <c r="F1594" s="2">
        <v>0</v>
      </c>
      <c r="G1594" s="3">
        <f t="shared" si="70"/>
        <v>3153.12842</v>
      </c>
      <c r="H1594" s="3">
        <f t="shared" si="71"/>
        <v>0.33999999999650754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525781.18999999994</v>
      </c>
      <c r="D1595" s="2">
        <v>0</v>
      </c>
      <c r="E1595" s="2">
        <v>0</v>
      </c>
      <c r="F1595" s="2">
        <v>0</v>
      </c>
      <c r="G1595" s="3">
        <f t="shared" si="70"/>
        <v>7360.9366599999994</v>
      </c>
      <c r="H1595" s="3">
        <f t="shared" si="71"/>
        <v>0.18999999994412065</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525781.18999999994</v>
      </c>
      <c r="D1600" s="2">
        <v>0</v>
      </c>
      <c r="E1600" s="2">
        <v>0</v>
      </c>
      <c r="F1600" s="2">
        <v>0</v>
      </c>
      <c r="G1600" s="3">
        <f t="shared" si="70"/>
        <v>9989.8426099999979</v>
      </c>
      <c r="H1600" s="3">
        <f t="shared" si="71"/>
        <v>0.18999999994412065</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6946.7</v>
      </c>
      <c r="D1601" s="2">
        <v>0</v>
      </c>
      <c r="E1601" s="2">
        <v>0</v>
      </c>
      <c r="F1601" s="2">
        <v>0</v>
      </c>
      <c r="G1601" s="3">
        <f>B1601/1000*C1601</f>
        <v>138.934</v>
      </c>
      <c r="H1601" s="3">
        <f>ABS(C1601-ROUND(C1601,0))</f>
        <v>0.3000000000001819</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1586152.7100000002</v>
      </c>
      <c r="D1602" s="2">
        <v>0</v>
      </c>
      <c r="E1602" s="2">
        <v>0</v>
      </c>
      <c r="F1602" s="2">
        <v>0</v>
      </c>
      <c r="G1602" s="3">
        <f t="shared" si="70"/>
        <v>33309.206910000008</v>
      </c>
      <c r="H1602" s="3">
        <f t="shared" si="71"/>
        <v>0.28999999980442226</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1090300.82</v>
      </c>
      <c r="D1604" s="2">
        <v>0</v>
      </c>
      <c r="E1604" s="2">
        <v>0</v>
      </c>
      <c r="F1604" s="2">
        <v>0</v>
      </c>
      <c r="G1604" s="3">
        <f t="shared" si="70"/>
        <v>25076.918860000002</v>
      </c>
      <c r="H1604" s="3">
        <f t="shared" si="71"/>
        <v>0.17999999993480742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170889.7</v>
      </c>
      <c r="D1605" s="2">
        <v>0</v>
      </c>
      <c r="E1605" s="2">
        <v>0</v>
      </c>
      <c r="F1605" s="2">
        <v>0</v>
      </c>
      <c r="G1605" s="3">
        <f t="shared" si="70"/>
        <v>4101.3528000000006</v>
      </c>
      <c r="H1605" s="3">
        <f t="shared" si="71"/>
        <v>0.29999999998835847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505235.85</v>
      </c>
      <c r="D1606" s="2">
        <v>0</v>
      </c>
      <c r="E1606" s="2">
        <v>0</v>
      </c>
      <c r="F1606" s="2">
        <v>0</v>
      </c>
      <c r="G1606" s="3">
        <f t="shared" si="70"/>
        <v>12630.89625</v>
      </c>
      <c r="H1606" s="3">
        <f t="shared" si="71"/>
        <v>0.15000000002328306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12041.62</v>
      </c>
      <c r="D1607" s="2">
        <v>0</v>
      </c>
      <c r="E1607" s="2">
        <v>0</v>
      </c>
      <c r="F1607" s="2">
        <v>0</v>
      </c>
      <c r="G1607" s="3">
        <f t="shared" si="70"/>
        <v>313.08212000000003</v>
      </c>
      <c r="H1607" s="3">
        <f t="shared" si="71"/>
        <v>0.37999999999919964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32413.040000000001</v>
      </c>
      <c r="D1609" s="2">
        <v>0</v>
      </c>
      <c r="E1609" s="2">
        <v>0</v>
      </c>
      <c r="F1609" s="2">
        <v>0</v>
      </c>
      <c r="G1609" s="3">
        <f>B1609/1000*C1609</f>
        <v>907.56512000000009</v>
      </c>
      <c r="H1609" s="3">
        <f>ABS(C1609-ROUND(C1609,0))</f>
        <v>4.0000000000873115E-2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41939.5</v>
      </c>
      <c r="D1610" s="2">
        <v>0</v>
      </c>
      <c r="E1610" s="2">
        <v>0</v>
      </c>
      <c r="F1610" s="2">
        <v>0</v>
      </c>
      <c r="G1610" s="3">
        <f t="shared" si="70"/>
        <v>1216.2455</v>
      </c>
      <c r="H1610" s="3">
        <f t="shared" si="71"/>
        <v>0.5</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241012.33</v>
      </c>
      <c r="D1611" s="2">
        <v>0</v>
      </c>
      <c r="E1611" s="2">
        <v>0</v>
      </c>
      <c r="F1611" s="2">
        <v>0</v>
      </c>
      <c r="G1611" s="3">
        <f t="shared" si="70"/>
        <v>7230.3698999999997</v>
      </c>
      <c r="H1611" s="3">
        <f t="shared" si="71"/>
        <v>0.32999999998719431</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86768.78</v>
      </c>
      <c r="D1612" s="2">
        <v>0</v>
      </c>
      <c r="E1612" s="2">
        <v>0</v>
      </c>
      <c r="F1612" s="2">
        <v>0</v>
      </c>
      <c r="G1612" s="3">
        <f t="shared" si="70"/>
        <v>2689.8321799999999</v>
      </c>
      <c r="H1612" s="3">
        <f t="shared" si="71"/>
        <v>0.22000000000116415</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327088.90000000002</v>
      </c>
      <c r="D1613" s="2">
        <v>0</v>
      </c>
      <c r="E1613" s="2">
        <v>0</v>
      </c>
      <c r="F1613" s="2">
        <v>0</v>
      </c>
      <c r="G1613" s="3">
        <f t="shared" si="70"/>
        <v>10466.844800000001</v>
      </c>
      <c r="H1613" s="3">
        <f t="shared" si="71"/>
        <v>9.9999999976716936E-2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166440.53</v>
      </c>
      <c r="D1614" s="2">
        <v>0</v>
      </c>
      <c r="E1614" s="2">
        <v>0</v>
      </c>
      <c r="F1614" s="2">
        <v>0</v>
      </c>
      <c r="G1614" s="3">
        <f t="shared" si="70"/>
        <v>5492.5374900000006</v>
      </c>
      <c r="H1614" s="3">
        <f t="shared" si="71"/>
        <v>0.47000000000116415</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166440.53</v>
      </c>
      <c r="D1618" s="2">
        <v>0</v>
      </c>
      <c r="E1618" s="2">
        <v>0</v>
      </c>
      <c r="F1618" s="2">
        <v>0</v>
      </c>
      <c r="G1618" s="3">
        <f t="shared" si="70"/>
        <v>6158.29961</v>
      </c>
      <c r="H1618" s="3">
        <f t="shared" si="71"/>
        <v>0.47000000000116415</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2322.46</v>
      </c>
      <c r="D1620" s="2">
        <v>0</v>
      </c>
      <c r="E1620" s="2">
        <v>0</v>
      </c>
      <c r="F1620" s="2">
        <v>0</v>
      </c>
      <c r="G1620" s="3">
        <f>B1620/1000*C1620</f>
        <v>90.575940000000003</v>
      </c>
      <c r="H1620" s="3">
        <f>ABS(C1620-ROUND(C1620,0))</f>
        <v>0.46000000000003638</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954312.7</v>
      </c>
      <c r="D1621" s="2">
        <v>0</v>
      </c>
      <c r="E1621" s="2">
        <v>0</v>
      </c>
      <c r="F1621" s="2">
        <v>0</v>
      </c>
      <c r="G1621" s="3">
        <f t="shared" si="70"/>
        <v>38172.508000000002</v>
      </c>
      <c r="H1621" s="3">
        <f t="shared" si="71"/>
        <v>0.30000000004656613</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34012.14</v>
      </c>
      <c r="D1622" s="2">
        <v>0</v>
      </c>
      <c r="E1622" s="2">
        <v>0</v>
      </c>
      <c r="F1622" s="2">
        <v>0</v>
      </c>
      <c r="G1622" s="3">
        <f t="shared" si="70"/>
        <v>1394.49774</v>
      </c>
      <c r="H1622" s="3">
        <f t="shared" si="71"/>
        <v>0.13999999999941792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16907.14</v>
      </c>
      <c r="D1628" s="2">
        <v>0</v>
      </c>
      <c r="E1628" s="2">
        <v>0</v>
      </c>
      <c r="F1628" s="2">
        <v>0</v>
      </c>
      <c r="G1628" s="3">
        <f t="shared" si="70"/>
        <v>794.63558</v>
      </c>
      <c r="H1628" s="3">
        <f t="shared" si="71"/>
        <v>0.13999999999941792</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16100.57</v>
      </c>
      <c r="D1634" s="2">
        <v>0</v>
      </c>
      <c r="E1634" s="2">
        <v>0</v>
      </c>
      <c r="F1634" s="2">
        <v>0</v>
      </c>
      <c r="G1634" s="3">
        <f t="shared" si="70"/>
        <v>853.33020999999997</v>
      </c>
      <c r="H1634" s="3">
        <f t="shared" si="71"/>
        <v>0.43000000000029104</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16100.57</v>
      </c>
      <c r="D1638" s="2">
        <v>0</v>
      </c>
      <c r="E1638" s="2">
        <v>0</v>
      </c>
      <c r="F1638" s="2">
        <v>0</v>
      </c>
      <c r="G1638" s="3">
        <f t="shared" si="70"/>
        <v>917.73248999999998</v>
      </c>
      <c r="H1638" s="3">
        <f t="shared" si="71"/>
        <v>0.43000000000029104</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806.57</v>
      </c>
      <c r="D1639" s="2">
        <v>0</v>
      </c>
      <c r="E1639" s="2">
        <v>0</v>
      </c>
      <c r="F1639" s="2">
        <v>0</v>
      </c>
      <c r="G1639" s="3">
        <f t="shared" si="70"/>
        <v>46.781060000000004</v>
      </c>
      <c r="H1639" s="3">
        <f t="shared" si="71"/>
        <v>0.42999999999994998</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151.58000000000001</v>
      </c>
      <c r="D1640" s="2">
        <v>0</v>
      </c>
      <c r="E1640" s="2">
        <v>0</v>
      </c>
      <c r="F1640" s="2">
        <v>0</v>
      </c>
      <c r="G1640" s="3">
        <f t="shared" si="70"/>
        <v>8.9432200000000002</v>
      </c>
      <c r="H1640" s="3">
        <f t="shared" si="71"/>
        <v>0.41999999999998749</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654.99</v>
      </c>
      <c r="D1642" s="2">
        <v>0</v>
      </c>
      <c r="E1642" s="2">
        <v>0</v>
      </c>
      <c r="F1642" s="2">
        <v>0</v>
      </c>
      <c r="G1642" s="3">
        <f t="shared" si="70"/>
        <v>39.954389999999997</v>
      </c>
      <c r="H1642" s="3">
        <f t="shared" si="71"/>
        <v>9.9999999999909051E-3</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17105</v>
      </c>
      <c r="D1669" s="2">
        <v>0</v>
      </c>
      <c r="E1669" s="2">
        <v>0</v>
      </c>
      <c r="F1669" s="2">
        <v>0</v>
      </c>
      <c r="G1669" s="3">
        <f t="shared" si="70"/>
        <v>1505.24</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17105</v>
      </c>
      <c r="D1671" s="2">
        <v>0</v>
      </c>
      <c r="E1671" s="2">
        <v>0</v>
      </c>
      <c r="F1671" s="2">
        <v>0</v>
      </c>
      <c r="G1671" s="3">
        <f t="shared" si="70"/>
        <v>1539.45</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920300.55999999994</v>
      </c>
      <c r="D1681" s="2">
        <v>0</v>
      </c>
      <c r="E1681" s="2">
        <v>0</v>
      </c>
      <c r="F1681" s="2">
        <v>0</v>
      </c>
      <c r="G1681" s="3">
        <f t="shared" si="70"/>
        <v>92030.055999999997</v>
      </c>
      <c r="H1681" s="3">
        <f t="shared" si="71"/>
        <v>0.44000000006053597</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34177.449999999997</v>
      </c>
      <c r="D1683" s="2">
        <v>0</v>
      </c>
      <c r="E1683" s="2">
        <v>0</v>
      </c>
      <c r="F1683" s="2">
        <v>0</v>
      </c>
      <c r="G1683" s="3">
        <f t="shared" si="70"/>
        <v>3486.0998999999993</v>
      </c>
      <c r="H1683" s="3">
        <f t="shared" si="71"/>
        <v>0.44999999999708962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881498.87</v>
      </c>
      <c r="D1685" s="2">
        <v>0</v>
      </c>
      <c r="E1685" s="2">
        <v>0</v>
      </c>
      <c r="F1685" s="2">
        <v>0</v>
      </c>
      <c r="G1685" s="3">
        <f>B1685/1000*C1685</f>
        <v>91675.88248</v>
      </c>
      <c r="H1685" s="3">
        <f>ABS(C1685-ROUND(C1685,0))</f>
        <v>0.13000000000465661</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4624.24</v>
      </c>
      <c r="D1686" s="14">
        <v>0</v>
      </c>
      <c r="E1686" s="14">
        <v>0</v>
      </c>
      <c r="F1686" s="14">
        <v>0</v>
      </c>
      <c r="G1686" s="15">
        <f t="shared" si="70"/>
        <v>485.54519999999997</v>
      </c>
      <c r="H1686" s="15">
        <f t="shared" si="71"/>
        <v>0.23999999999978172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1" t="s">
        <v>1970</v>
      </c>
      <c r="B2" s="362"/>
      <c r="C2" s="362"/>
      <c r="D2" s="362"/>
      <c r="E2" s="362"/>
      <c r="F2" s="362"/>
      <c r="G2" s="362"/>
      <c r="H2" s="362"/>
      <c r="I2" s="36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3" t="s">
        <v>1972</v>
      </c>
      <c r="B4" s="364"/>
      <c r="C4" s="364"/>
      <c r="D4" s="364"/>
      <c r="E4" s="364"/>
      <c r="F4" s="364"/>
      <c r="G4" s="364"/>
      <c r="H4" s="364"/>
      <c r="I4" s="36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28356</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1" t="s">
        <v>1976</v>
      </c>
      <c r="F7" s="365" t="s">
        <v>1977</v>
      </c>
      <c r="G7" s="36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1"/>
      <c r="F8" s="345" t="s">
        <v>1980</v>
      </c>
      <c r="G8" s="346"/>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1"/>
      <c r="F9" s="359" t="s">
        <v>1981</v>
      </c>
      <c r="G9" s="360"/>
      <c r="H9" s="231" t="e">
        <f>IF(OR(MAX(Skriveni!C1401:D1537)&gt;0,MIN(Skriveni!C1401:D1537)&lt;0),"DA","NE")</f>
        <v>#REF!</v>
      </c>
      <c r="I9" s="26" t="e">
        <f>IF(AND(H9="DA",Kont!E347&gt;0),Kont!E347,"Nema")</f>
        <v>#REF!</v>
      </c>
      <c r="J9" s="5"/>
      <c r="K9" s="5"/>
      <c r="L9" s="5"/>
      <c r="M9" s="5"/>
      <c r="N9" s="5"/>
      <c r="O9" s="5"/>
      <c r="P9" s="5"/>
      <c r="Q9" s="5"/>
      <c r="R9" s="5"/>
      <c r="S9" s="5"/>
      <c r="T9" s="5"/>
      <c r="U9" s="5"/>
      <c r="V9" s="5"/>
      <c r="W9" s="5"/>
    </row>
    <row r="10" spans="1:23" ht="13.5" customHeight="1" x14ac:dyDescent="0.2">
      <c r="B10" s="18" t="s">
        <v>2</v>
      </c>
      <c r="C10" s="241" t="s">
        <v>3</v>
      </c>
      <c r="D10" s="314"/>
      <c r="E10" s="331"/>
      <c r="F10" s="345" t="s">
        <v>1982</v>
      </c>
      <c r="G10" s="346"/>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1"/>
      <c r="F11" s="357" t="s">
        <v>1983</v>
      </c>
      <c r="G11" s="35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1"/>
      <c r="F12" s="355" t="s">
        <v>1984</v>
      </c>
      <c r="G12" s="35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31"/>
      <c r="F13" s="328" t="s">
        <v>1988</v>
      </c>
      <c r="G13" s="329"/>
      <c r="H13" s="330"/>
      <c r="I13" s="274" t="e">
        <f>IF(Kont!E14&gt;0,Kont!E14,"Nema")</f>
        <v>#REF!</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2" t="s">
        <v>8</v>
      </c>
      <c r="C16" s="344"/>
      <c r="D16" s="344"/>
      <c r="E16" s="344"/>
      <c r="F16" s="334"/>
      <c r="G16" s="201" t="s">
        <v>9</v>
      </c>
      <c r="H16" s="265" t="s">
        <v>10</v>
      </c>
      <c r="I16" s="266" t="s">
        <v>11</v>
      </c>
      <c r="J16" s="5"/>
      <c r="K16" s="5"/>
      <c r="L16" s="5"/>
      <c r="M16" s="5"/>
      <c r="N16" s="5"/>
      <c r="O16" s="5"/>
      <c r="P16" s="5"/>
      <c r="Q16" s="5"/>
      <c r="R16" s="5"/>
      <c r="S16" s="5"/>
      <c r="T16" s="5"/>
      <c r="U16" s="5"/>
      <c r="V16" s="5"/>
      <c r="W16" s="5"/>
    </row>
    <row r="17" spans="1:23" ht="12.75" customHeight="1" x14ac:dyDescent="0.2">
      <c r="A17" s="352" t="s">
        <v>1977</v>
      </c>
      <c r="B17" s="335" t="str">
        <f>'PR-RAS'!B6</f>
        <v>PRIHODI POSLOVANJA (šifre 61+62+63+64+65+66+67+68)</v>
      </c>
      <c r="C17" s="336"/>
      <c r="D17" s="336"/>
      <c r="E17" s="336"/>
      <c r="F17" s="337"/>
      <c r="G17" s="28" t="str">
        <f>'PR-RAS'!C6</f>
        <v>6</v>
      </c>
      <c r="H17" s="275">
        <f>'PR-RAS'!D6</f>
        <v>1412220.7099999997</v>
      </c>
      <c r="I17" s="275">
        <f>'PR-RAS'!E6</f>
        <v>1596525.8199999998</v>
      </c>
      <c r="J17" s="5"/>
      <c r="K17" s="5"/>
      <c r="L17" s="5"/>
      <c r="M17" s="5"/>
      <c r="N17" s="5"/>
      <c r="O17" s="5"/>
      <c r="P17" s="5"/>
      <c r="Q17" s="5"/>
      <c r="R17" s="5"/>
      <c r="S17" s="5"/>
      <c r="T17" s="5"/>
      <c r="U17" s="5"/>
      <c r="V17" s="5"/>
      <c r="W17" s="5"/>
    </row>
    <row r="18" spans="1:23" ht="12.75" customHeight="1" x14ac:dyDescent="0.2">
      <c r="A18" s="353"/>
      <c r="B18" s="338" t="str">
        <f>'PR-RAS'!B152</f>
        <v xml:space="preserve">RASHODI POSLOVANJA (šifre 31+32+34+35+36+37+38) </v>
      </c>
      <c r="C18" s="339"/>
      <c r="D18" s="339"/>
      <c r="E18" s="339"/>
      <c r="F18" s="340"/>
      <c r="G18" s="29" t="str">
        <f>'PR-RAS'!C152</f>
        <v>3</v>
      </c>
      <c r="H18" s="275">
        <f>'PR-RAS'!D152</f>
        <v>1224679.26</v>
      </c>
      <c r="I18" s="275">
        <f>'PR-RAS'!E152</f>
        <v>1261800.2300000002</v>
      </c>
      <c r="J18" s="5"/>
      <c r="K18" s="5"/>
      <c r="L18" s="5"/>
      <c r="M18" s="5"/>
      <c r="N18" s="5"/>
      <c r="O18" s="5"/>
      <c r="P18" s="5"/>
      <c r="Q18" s="5"/>
      <c r="R18" s="5"/>
      <c r="S18" s="5"/>
      <c r="T18" s="5"/>
      <c r="U18" s="5"/>
      <c r="V18" s="5"/>
      <c r="W18" s="5"/>
    </row>
    <row r="19" spans="1:23" ht="12.75" customHeight="1" x14ac:dyDescent="0.2">
      <c r="A19" s="353"/>
      <c r="B19" s="338" t="str">
        <f>'PR-RAS'!B649</f>
        <v>Višak prihoda i primitaka raspoloživ u sljedećem razdoblju (šifre X005 + '9221-9222' - Y005 - '9222-9221')</v>
      </c>
      <c r="C19" s="339"/>
      <c r="D19" s="339"/>
      <c r="E19" s="339"/>
      <c r="F19" s="340"/>
      <c r="G19" s="29" t="str">
        <f>'PR-RAS'!C649</f>
        <v>X006</v>
      </c>
      <c r="H19" s="275">
        <f>'PR-RAS'!D649</f>
        <v>0</v>
      </c>
      <c r="I19" s="275">
        <f>'PR-RAS'!E649</f>
        <v>73615.419999999693</v>
      </c>
      <c r="J19" s="5"/>
      <c r="K19" s="5"/>
      <c r="L19" s="5"/>
      <c r="M19" s="5"/>
      <c r="N19" s="5"/>
      <c r="O19" s="5"/>
      <c r="P19" s="5"/>
      <c r="Q19" s="5"/>
      <c r="R19" s="5"/>
      <c r="S19" s="5"/>
      <c r="T19" s="5"/>
      <c r="U19" s="5"/>
      <c r="V19" s="5"/>
      <c r="W19" s="5"/>
    </row>
    <row r="20" spans="1:23" ht="12.75" customHeight="1" x14ac:dyDescent="0.2">
      <c r="A20" s="354"/>
      <c r="B20" s="341" t="str">
        <f>'PR-RAS'!B650</f>
        <v>Manjak prihoda i primitaka za pokriće u sljedećem razdoblju (šifre Y005 + '9222-9221' - X005 - '9221-9222' )</v>
      </c>
      <c r="C20" s="342"/>
      <c r="D20" s="342"/>
      <c r="E20" s="342"/>
      <c r="F20" s="343"/>
      <c r="G20" s="30" t="str">
        <f>'PR-RAS'!C650</f>
        <v>Y006</v>
      </c>
      <c r="H20" s="275">
        <f>'PR-RAS'!D650</f>
        <v>333328.50000000035</v>
      </c>
      <c r="I20" s="275">
        <f>'PR-RAS'!E650</f>
        <v>0</v>
      </c>
      <c r="J20" s="5"/>
      <c r="K20" s="5"/>
      <c r="L20" s="5"/>
      <c r="M20" s="5"/>
      <c r="N20" s="5"/>
      <c r="O20" s="5"/>
      <c r="P20" s="5"/>
      <c r="Q20" s="5"/>
      <c r="R20" s="5"/>
      <c r="S20" s="5"/>
      <c r="T20" s="5"/>
      <c r="U20" s="5"/>
      <c r="V20" s="5"/>
      <c r="W20" s="5"/>
    </row>
    <row r="21" spans="1:23" ht="29.25" customHeight="1" x14ac:dyDescent="0.2">
      <c r="A21" s="200" t="s">
        <v>1989</v>
      </c>
      <c r="B21" s="332" t="s">
        <v>8</v>
      </c>
      <c r="C21" s="333"/>
      <c r="D21" s="333"/>
      <c r="E21" s="333"/>
      <c r="F21" s="334"/>
      <c r="G21" s="201" t="s">
        <v>9</v>
      </c>
      <c r="H21" s="265" t="s">
        <v>1990</v>
      </c>
      <c r="I21" s="266" t="s">
        <v>1991</v>
      </c>
      <c r="J21" s="5"/>
      <c r="K21" s="5"/>
      <c r="L21" s="5"/>
      <c r="M21" s="5"/>
      <c r="N21" s="5"/>
      <c r="O21" s="5"/>
      <c r="P21" s="5"/>
      <c r="Q21" s="5"/>
      <c r="R21" s="5"/>
      <c r="S21" s="5"/>
      <c r="T21" s="5"/>
      <c r="U21" s="5"/>
      <c r="V21" s="5"/>
      <c r="W21" s="5"/>
    </row>
    <row r="22" spans="1:23" ht="12.75" customHeight="1" x14ac:dyDescent="0.2">
      <c r="A22" s="352" t="s">
        <v>1980</v>
      </c>
      <c r="B22" s="335" t="str">
        <f>BILANCA!B7</f>
        <v>Nefinancijska imovina (šifre 01+02+03+04+05+06)</v>
      </c>
      <c r="C22" s="336"/>
      <c r="D22" s="336"/>
      <c r="E22" s="336"/>
      <c r="F22" s="337"/>
      <c r="G22" s="126" t="str">
        <f>BILANCA!C7</f>
        <v>B002</v>
      </c>
      <c r="H22" s="275">
        <f>BILANCA!D7</f>
        <v>6603039.290000001</v>
      </c>
      <c r="I22" s="275">
        <f>BILANCA!E7</f>
        <v>6696235.2400000021</v>
      </c>
      <c r="J22" s="5"/>
      <c r="K22" s="5"/>
      <c r="L22" s="5"/>
      <c r="M22" s="5"/>
      <c r="N22" s="5"/>
      <c r="O22" s="5"/>
      <c r="P22" s="5"/>
      <c r="Q22" s="5"/>
      <c r="R22" s="5"/>
      <c r="S22" s="5"/>
      <c r="T22" s="5"/>
      <c r="U22" s="5"/>
      <c r="V22" s="5"/>
      <c r="W22" s="5"/>
    </row>
    <row r="23" spans="1:23" ht="12.75" customHeight="1" x14ac:dyDescent="0.2">
      <c r="A23" s="353"/>
      <c r="B23" s="338" t="str">
        <f>BILANCA!B69</f>
        <v>Financijska imovina (šifre 11+12+13+14+15+16+17+19)</v>
      </c>
      <c r="C23" s="339"/>
      <c r="D23" s="339"/>
      <c r="E23" s="339"/>
      <c r="F23" s="340"/>
      <c r="G23" s="127" t="str">
        <f>BILANCA!C69</f>
        <v>1</v>
      </c>
      <c r="H23" s="275">
        <f>BILANCA!D69</f>
        <v>542846.81000000006</v>
      </c>
      <c r="I23" s="275">
        <f>BILANCA!E69</f>
        <v>625855.87</v>
      </c>
      <c r="J23" s="5"/>
      <c r="K23" s="5"/>
      <c r="L23" s="5"/>
      <c r="M23" s="5"/>
      <c r="N23" s="5"/>
      <c r="O23" s="5"/>
      <c r="P23" s="5"/>
      <c r="Q23" s="5"/>
      <c r="R23" s="5"/>
      <c r="S23" s="5"/>
      <c r="T23" s="5"/>
      <c r="U23" s="5"/>
      <c r="V23" s="5"/>
      <c r="W23" s="5"/>
    </row>
    <row r="24" spans="1:23" ht="12.75" customHeight="1" x14ac:dyDescent="0.2">
      <c r="A24" s="353"/>
      <c r="B24" s="338" t="str">
        <f>BILANCA!B177</f>
        <v xml:space="preserve">Obveze (šifre 23+24+25+26+27+29) </v>
      </c>
      <c r="C24" s="339"/>
      <c r="D24" s="339"/>
      <c r="E24" s="339"/>
      <c r="F24" s="340"/>
      <c r="G24" s="127" t="str">
        <f>BILANCA!C177</f>
        <v>2</v>
      </c>
      <c r="H24" s="275">
        <f>BILANCA!D177</f>
        <v>921030.9</v>
      </c>
      <c r="I24" s="275">
        <f>BILANCA!E177</f>
        <v>954312.7</v>
      </c>
      <c r="J24" s="5"/>
      <c r="K24" s="5"/>
      <c r="L24" s="5"/>
      <c r="M24" s="5"/>
      <c r="N24" s="5"/>
      <c r="O24" s="5"/>
      <c r="P24" s="5"/>
      <c r="Q24" s="5"/>
      <c r="R24" s="5"/>
      <c r="S24" s="5"/>
      <c r="T24" s="5"/>
      <c r="U24" s="5"/>
      <c r="V24" s="5"/>
      <c r="W24" s="5"/>
    </row>
    <row r="25" spans="1:23" ht="12.75" customHeight="1" x14ac:dyDescent="0.2">
      <c r="A25" s="354"/>
      <c r="B25" s="341" t="str">
        <f>BILANCA!B251</f>
        <v>Vlastiti izvori (šifre 91 + 922 - 93 + 96 + 97)</v>
      </c>
      <c r="C25" s="342"/>
      <c r="D25" s="342"/>
      <c r="E25" s="342"/>
      <c r="F25" s="343"/>
      <c r="G25" s="128" t="str">
        <f>BILANCA!C251</f>
        <v>9</v>
      </c>
      <c r="H25" s="275">
        <f>BILANCA!D251</f>
        <v>6224855.2000000002</v>
      </c>
      <c r="I25" s="275">
        <f>BILANCA!E251</f>
        <v>6367778.4100000001</v>
      </c>
      <c r="J25" s="5"/>
      <c r="K25" s="5"/>
      <c r="L25" s="5"/>
      <c r="M25" s="5"/>
      <c r="N25" s="5"/>
      <c r="O25" s="5"/>
      <c r="P25" s="5"/>
      <c r="Q25" s="5"/>
      <c r="R25" s="5"/>
      <c r="S25" s="5"/>
      <c r="T25" s="5"/>
      <c r="U25" s="5"/>
      <c r="V25" s="5"/>
      <c r="W25" s="5"/>
    </row>
    <row r="26" spans="1:23" ht="48" x14ac:dyDescent="0.2">
      <c r="A26" s="200" t="s">
        <v>1989</v>
      </c>
      <c r="B26" s="332" t="s">
        <v>8</v>
      </c>
      <c r="C26" s="333"/>
      <c r="D26" s="333"/>
      <c r="E26" s="333"/>
      <c r="F26" s="334"/>
      <c r="G26" s="201" t="s">
        <v>9</v>
      </c>
      <c r="H26" s="265" t="s">
        <v>10</v>
      </c>
      <c r="I26" s="266" t="s">
        <v>11</v>
      </c>
      <c r="J26" s="5"/>
      <c r="K26" s="5"/>
      <c r="L26" s="5"/>
      <c r="M26" s="5"/>
      <c r="N26" s="5"/>
      <c r="O26" s="5"/>
      <c r="P26" s="5"/>
      <c r="Q26" s="5"/>
      <c r="R26" s="5"/>
      <c r="S26" s="5"/>
      <c r="T26" s="5"/>
      <c r="U26" s="5"/>
      <c r="V26" s="5"/>
      <c r="W26" s="5"/>
    </row>
    <row r="27" spans="1:23" ht="12.75" customHeight="1" x14ac:dyDescent="0.2">
      <c r="A27" s="352" t="s">
        <v>1992</v>
      </c>
      <c r="B27" s="335" t="str">
        <f>'RAS-funkcijski'!B5</f>
        <v>Opće javne usluge (šifre 011+012+013+014 do 018)</v>
      </c>
      <c r="C27" s="336"/>
      <c r="D27" s="336"/>
      <c r="E27" s="336"/>
      <c r="F27" s="337"/>
      <c r="G27" s="126" t="str">
        <f>'RAS-funkcijski'!C5</f>
        <v>01</v>
      </c>
      <c r="H27" s="275">
        <f>'RAS-funkcijski'!D5</f>
        <v>320449.65000000002</v>
      </c>
      <c r="I27" s="275">
        <f>'RAS-funkcijski'!E5</f>
        <v>397929.72</v>
      </c>
      <c r="J27" s="5"/>
      <c r="K27" s="5"/>
      <c r="L27" s="5"/>
      <c r="M27" s="5"/>
      <c r="N27" s="5"/>
      <c r="O27" s="5"/>
      <c r="P27" s="5"/>
      <c r="Q27" s="5"/>
      <c r="R27" s="5"/>
      <c r="S27" s="5"/>
      <c r="T27" s="5"/>
      <c r="U27" s="5"/>
      <c r="V27" s="5"/>
      <c r="W27" s="5"/>
    </row>
    <row r="28" spans="1:23" ht="12.75" customHeight="1" x14ac:dyDescent="0.2">
      <c r="A28" s="353"/>
      <c r="B28" s="338" t="str">
        <f>'RAS-funkcijski'!B35</f>
        <v>Ekonomski poslovi (šifre 041+042+043+044+045+046+047+048+049)</v>
      </c>
      <c r="C28" s="339"/>
      <c r="D28" s="339"/>
      <c r="E28" s="339"/>
      <c r="F28" s="340"/>
      <c r="G28" s="127" t="str">
        <f>'RAS-funkcijski'!C35</f>
        <v>04</v>
      </c>
      <c r="H28" s="275">
        <f>'RAS-funkcijski'!D35</f>
        <v>252468.97</v>
      </c>
      <c r="I28" s="275">
        <f>'RAS-funkcijski'!E35</f>
        <v>166499.40000000002</v>
      </c>
      <c r="J28" s="5"/>
      <c r="K28" s="5"/>
      <c r="L28" s="5"/>
      <c r="M28" s="5"/>
      <c r="N28" s="5"/>
      <c r="O28" s="5"/>
      <c r="P28" s="5"/>
      <c r="Q28" s="5"/>
      <c r="R28" s="5"/>
      <c r="S28" s="5"/>
      <c r="T28" s="5"/>
      <c r="U28" s="5"/>
      <c r="V28" s="5"/>
      <c r="W28" s="5"/>
    </row>
    <row r="29" spans="1:23" ht="12.75" customHeight="1" x14ac:dyDescent="0.2">
      <c r="A29" s="353"/>
      <c r="B29" s="338" t="str">
        <f>'RAS-funkcijski'!B88</f>
        <v>Rashodi vezani za stanovanje i kom. pogodnosti koji nisu drugdje svrstani</v>
      </c>
      <c r="C29" s="339"/>
      <c r="D29" s="339"/>
      <c r="E29" s="339"/>
      <c r="F29" s="34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3"/>
      <c r="B30" s="338" t="str">
        <f>'RAS-funkcijski'!B114</f>
        <v>Obrazovanje (šifre 091+092+093+094+095+096+097+098)</v>
      </c>
      <c r="C30" s="339"/>
      <c r="D30" s="339"/>
      <c r="E30" s="339"/>
      <c r="F30" s="340"/>
      <c r="G30" s="127" t="str">
        <f>'RAS-funkcijski'!C114</f>
        <v>09</v>
      </c>
      <c r="H30" s="275">
        <f>'RAS-funkcijski'!D114</f>
        <v>74329.539999999994</v>
      </c>
      <c r="I30" s="275">
        <f>'RAS-funkcijski'!E114</f>
        <v>79851.48000000001</v>
      </c>
      <c r="J30" s="5"/>
      <c r="K30" s="5"/>
      <c r="L30" s="5"/>
      <c r="M30" s="5"/>
      <c r="N30" s="5"/>
      <c r="O30" s="5"/>
      <c r="P30" s="5"/>
      <c r="Q30" s="5"/>
      <c r="R30" s="5"/>
      <c r="S30" s="5"/>
      <c r="T30" s="5"/>
      <c r="U30" s="5"/>
      <c r="V30" s="5"/>
      <c r="W30" s="5"/>
    </row>
    <row r="31" spans="1:23" ht="12.75" customHeight="1" x14ac:dyDescent="0.2">
      <c r="A31" s="354"/>
      <c r="B31" s="341" t="str">
        <f>'RAS-funkcijski'!B141</f>
        <v>Kontrolni zbroj (šifre 01+02+03+04+05+06+07+08+09+10)</v>
      </c>
      <c r="C31" s="342"/>
      <c r="D31" s="342"/>
      <c r="E31" s="342"/>
      <c r="F31" s="343"/>
      <c r="G31" s="128" t="str">
        <f>'RAS-funkcijski'!C141</f>
        <v>R1</v>
      </c>
      <c r="H31" s="275">
        <f>'RAS-funkcijski'!D141</f>
        <v>1299020.9600000002</v>
      </c>
      <c r="I31" s="275">
        <f>'RAS-funkcijski'!E141</f>
        <v>1198658.7600000002</v>
      </c>
      <c r="J31" s="5"/>
      <c r="K31" s="5"/>
      <c r="L31" s="5"/>
      <c r="M31" s="5"/>
      <c r="N31" s="5"/>
      <c r="O31" s="5"/>
      <c r="P31" s="5"/>
      <c r="Q31" s="5"/>
      <c r="R31" s="5"/>
      <c r="S31" s="5"/>
      <c r="T31" s="5"/>
      <c r="U31" s="5"/>
      <c r="V31" s="5"/>
      <c r="W31" s="5"/>
    </row>
    <row r="32" spans="1:23" ht="29.25" customHeight="1" x14ac:dyDescent="0.2">
      <c r="A32" s="200" t="s">
        <v>1989</v>
      </c>
      <c r="B32" s="332" t="s">
        <v>8</v>
      </c>
      <c r="C32" s="333"/>
      <c r="D32" s="333"/>
      <c r="E32" s="333"/>
      <c r="F32" s="334"/>
      <c r="G32" s="201" t="s">
        <v>9</v>
      </c>
      <c r="H32" s="265" t="s">
        <v>1993</v>
      </c>
      <c r="I32" s="266" t="s">
        <v>1994</v>
      </c>
      <c r="J32" s="5"/>
      <c r="K32" s="5"/>
      <c r="L32" s="5"/>
      <c r="M32" s="5"/>
      <c r="N32" s="5"/>
      <c r="O32" s="5"/>
      <c r="P32" s="5"/>
      <c r="Q32" s="5"/>
      <c r="R32" s="5"/>
      <c r="S32" s="5"/>
      <c r="T32" s="5"/>
      <c r="U32" s="5"/>
      <c r="V32" s="5"/>
      <c r="W32" s="5"/>
    </row>
    <row r="33" spans="1:23" ht="12.75" customHeight="1" x14ac:dyDescent="0.2">
      <c r="A33" s="352" t="s">
        <v>1982</v>
      </c>
      <c r="B33" s="349" t="str">
        <f>'P-VRIO'!B5</f>
        <v>Promjene u vrijednosti i obujmu imovine (šifre 91511+91512)</v>
      </c>
      <c r="C33" s="336"/>
      <c r="D33" s="336"/>
      <c r="E33" s="336"/>
      <c r="F33" s="337"/>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3"/>
      <c r="B34" s="350" t="str">
        <f>'P-VRIO'!B22</f>
        <v>Promjene u obujmu imovine (šifre P016+P023)</v>
      </c>
      <c r="C34" s="339"/>
      <c r="D34" s="339"/>
      <c r="E34" s="339"/>
      <c r="F34" s="340"/>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3"/>
      <c r="B35" s="350" t="str">
        <f>'P-VRIO'!B38</f>
        <v>Promjene u vrijednosti i obujmu obveza (šifre 91521+91522)</v>
      </c>
      <c r="C35" s="339"/>
      <c r="D35" s="339"/>
      <c r="E35" s="339"/>
      <c r="F35" s="34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4"/>
      <c r="B36" s="351" t="str">
        <f>'P-VRIO'!B44</f>
        <v>Promjene u obujmu obveza (šifre P035 do P038)</v>
      </c>
      <c r="C36" s="342"/>
      <c r="D36" s="342"/>
      <c r="E36" s="342"/>
      <c r="F36" s="34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2" t="s">
        <v>8</v>
      </c>
      <c r="C37" s="333"/>
      <c r="D37" s="333"/>
      <c r="E37" s="333"/>
      <c r="F37" s="334"/>
      <c r="G37" s="201" t="s">
        <v>9</v>
      </c>
      <c r="H37" s="265" t="s">
        <v>1990</v>
      </c>
      <c r="I37" s="266" t="s">
        <v>1951</v>
      </c>
      <c r="J37" s="5"/>
      <c r="K37" s="5"/>
      <c r="L37" s="5"/>
      <c r="M37" s="5"/>
      <c r="N37" s="5"/>
      <c r="O37" s="5"/>
      <c r="P37" s="5"/>
      <c r="Q37" s="5"/>
      <c r="R37" s="5"/>
      <c r="S37" s="5"/>
      <c r="T37" s="5"/>
      <c r="U37" s="5"/>
      <c r="V37" s="5"/>
      <c r="W37" s="5"/>
    </row>
    <row r="38" spans="1:23" ht="12.75" customHeight="1" x14ac:dyDescent="0.2">
      <c r="A38" s="352" t="s">
        <v>1983</v>
      </c>
      <c r="B38" s="335" t="str">
        <f>OBVEZE!B5</f>
        <v>Stanje obveza 1. siječnja (=stanju obveza iz Izvještaja o obvezama na 31. prosinca prethodne godine)</v>
      </c>
      <c r="C38" s="336"/>
      <c r="D38" s="336"/>
      <c r="E38" s="336"/>
      <c r="F38" s="337"/>
      <c r="G38" s="126" t="str">
        <f>OBVEZE!C5</f>
        <v>V001</v>
      </c>
      <c r="H38" s="275">
        <f>OBVEZE!D5</f>
        <v>921030.9</v>
      </c>
      <c r="I38" s="275" t="s">
        <v>1995</v>
      </c>
      <c r="J38" s="5"/>
      <c r="K38" s="5"/>
      <c r="L38" s="5"/>
      <c r="M38" s="5"/>
      <c r="N38" s="5"/>
      <c r="O38" s="5"/>
      <c r="P38" s="5"/>
      <c r="Q38" s="5"/>
      <c r="R38" s="5"/>
      <c r="S38" s="5"/>
      <c r="T38" s="5"/>
      <c r="U38" s="5"/>
      <c r="V38" s="5"/>
      <c r="W38" s="5"/>
    </row>
    <row r="39" spans="1:23" ht="12.75" customHeight="1" x14ac:dyDescent="0.2">
      <c r="A39" s="353"/>
      <c r="B39" s="338" t="str">
        <f>OBVEZE!B44</f>
        <v>Stanje obveza na kraju izvještajnog razdoblja (šifre V001+V002-V004) i (šifre V007+V009)</v>
      </c>
      <c r="C39" s="339"/>
      <c r="D39" s="339"/>
      <c r="E39" s="339"/>
      <c r="F39" s="340"/>
      <c r="G39" s="127" t="str">
        <f>OBVEZE!C44</f>
        <v>V006</v>
      </c>
      <c r="H39" s="275" t="s">
        <v>1995</v>
      </c>
      <c r="I39" s="275">
        <f>OBVEZE!D44</f>
        <v>954312.7</v>
      </c>
      <c r="J39" s="5"/>
      <c r="K39" s="5"/>
      <c r="L39" s="5"/>
      <c r="M39" s="5"/>
      <c r="N39" s="5"/>
      <c r="O39" s="5"/>
      <c r="P39" s="5"/>
      <c r="Q39" s="5"/>
      <c r="R39" s="5"/>
      <c r="S39" s="5"/>
      <c r="T39" s="5"/>
      <c r="U39" s="5"/>
      <c r="V39" s="5"/>
      <c r="W39" s="5"/>
    </row>
    <row r="40" spans="1:23" ht="12.75" customHeight="1" x14ac:dyDescent="0.2">
      <c r="A40" s="353"/>
      <c r="B40" s="338" t="str">
        <f>OBVEZE!B45</f>
        <v>Stanje dospjelih obveza na kraju izvještajnog razdoblja (šifre V008+D23+D24 + 'D dio 25,26' + D27)</v>
      </c>
      <c r="C40" s="339"/>
      <c r="D40" s="339"/>
      <c r="E40" s="339"/>
      <c r="F40" s="340"/>
      <c r="G40" s="127" t="str">
        <f>OBVEZE!C45</f>
        <v>V007</v>
      </c>
      <c r="H40" s="275" t="s">
        <v>1995</v>
      </c>
      <c r="I40" s="275">
        <f>OBVEZE!D45</f>
        <v>34012.14</v>
      </c>
      <c r="J40" s="5"/>
      <c r="K40" s="5"/>
      <c r="L40" s="5"/>
      <c r="M40" s="5"/>
      <c r="N40" s="5"/>
      <c r="O40" s="5"/>
      <c r="P40" s="5"/>
      <c r="Q40" s="5"/>
      <c r="R40" s="5"/>
      <c r="S40" s="5"/>
      <c r="T40" s="5"/>
      <c r="U40" s="5"/>
      <c r="V40" s="5"/>
      <c r="W40" s="5"/>
    </row>
    <row r="41" spans="1:23" ht="12.75" customHeight="1" x14ac:dyDescent="0.2">
      <c r="A41" s="354"/>
      <c r="B41" s="341" t="str">
        <f>OBVEZE!B104</f>
        <v>Stanje nedospjelih obveza na kraju izvještajnog razdoblja (šifre V010 + ND23 + ND24 + 'ND dio 25,26' + ND27)</v>
      </c>
      <c r="C41" s="342"/>
      <c r="D41" s="342"/>
      <c r="E41" s="342"/>
      <c r="F41" s="343"/>
      <c r="G41" s="128" t="str">
        <f>OBVEZE!C104</f>
        <v>V009</v>
      </c>
      <c r="H41" s="276" t="s">
        <v>1995</v>
      </c>
      <c r="I41" s="276">
        <f>OBVEZE!D104</f>
        <v>920300.55999999994</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7" t="s">
        <v>1996</v>
      </c>
      <c r="F44" s="347"/>
      <c r="G44" s="229"/>
      <c r="H44" s="348" t="s">
        <v>1997</v>
      </c>
      <c r="I44" s="348"/>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E304" sqref="E304"/>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1" t="s">
        <v>6</v>
      </c>
      <c r="B2" s="372"/>
      <c r="C2" s="372"/>
      <c r="D2" s="372"/>
      <c r="E2" s="372"/>
      <c r="F2" s="372"/>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3" t="s">
        <v>14</v>
      </c>
      <c r="B5" s="374"/>
      <c r="C5" s="166"/>
      <c r="D5" s="52"/>
      <c r="E5" s="52"/>
      <c r="F5" s="44"/>
    </row>
    <row r="6" spans="1:24" ht="12.75" customHeight="1" x14ac:dyDescent="0.2">
      <c r="A6" s="63">
        <v>6</v>
      </c>
      <c r="B6" s="220" t="s">
        <v>15</v>
      </c>
      <c r="C6" s="247" t="s">
        <v>16</v>
      </c>
      <c r="D6" s="60">
        <f>D7+D43+D49+D82+D106+D125+D134+D140</f>
        <v>1412220.7099999997</v>
      </c>
      <c r="E6" s="60">
        <f>E7+E43+E49+E82+E106+E125+E134+E140</f>
        <v>1596525.8199999998</v>
      </c>
      <c r="F6" s="45">
        <f t="shared" ref="F6:F132" si="0">IF(D6&lt;&gt;0,IF(E6/D6&gt;=100,"&gt;&gt;100",E6/D6*100),"-")</f>
        <v>113.05072986785474</v>
      </c>
    </row>
    <row r="7" spans="1:24" ht="12.75" customHeight="1" x14ac:dyDescent="0.2">
      <c r="A7" s="63">
        <v>61</v>
      </c>
      <c r="B7" s="220" t="s">
        <v>17</v>
      </c>
      <c r="C7" s="247" t="s">
        <v>18</v>
      </c>
      <c r="D7" s="60">
        <f>D8+D17+D23+D29+D36+D39</f>
        <v>790402.10999999987</v>
      </c>
      <c r="E7" s="60">
        <f>E8+E17+E23+E29+E36+E39</f>
        <v>835625.94999999984</v>
      </c>
      <c r="F7" s="45">
        <f t="shared" si="0"/>
        <v>105.72162440204012</v>
      </c>
    </row>
    <row r="8" spans="1:24" ht="12.75" customHeight="1" x14ac:dyDescent="0.2">
      <c r="A8" s="63">
        <v>611</v>
      </c>
      <c r="B8" s="220" t="s">
        <v>19</v>
      </c>
      <c r="C8" s="247" t="s">
        <v>20</v>
      </c>
      <c r="D8" s="60">
        <f>SUM(D9:D14)-D15-D16</f>
        <v>766247.36999999988</v>
      </c>
      <c r="E8" s="60">
        <f>SUM(E9:E14)-E15-E16</f>
        <v>822403.74999999988</v>
      </c>
      <c r="F8" s="45">
        <f t="shared" si="0"/>
        <v>107.32875337634111</v>
      </c>
    </row>
    <row r="9" spans="1:24" ht="12.75" customHeight="1" x14ac:dyDescent="0.2">
      <c r="A9" s="63">
        <v>6111</v>
      </c>
      <c r="B9" s="65" t="s">
        <v>21</v>
      </c>
      <c r="C9" s="247" t="s">
        <v>22</v>
      </c>
      <c r="D9" s="194">
        <v>802720.6</v>
      </c>
      <c r="E9" s="194">
        <v>917891.6</v>
      </c>
      <c r="F9" s="45">
        <f t="shared" si="0"/>
        <v>114.34758245895272</v>
      </c>
    </row>
    <row r="10" spans="1:24" ht="12.75" customHeight="1" x14ac:dyDescent="0.2">
      <c r="A10" s="63">
        <v>6112</v>
      </c>
      <c r="B10" s="65" t="s">
        <v>23</v>
      </c>
      <c r="C10" s="247" t="s">
        <v>24</v>
      </c>
      <c r="D10" s="194">
        <v>23928.47</v>
      </c>
      <c r="E10" s="194">
        <v>19507.259999999998</v>
      </c>
      <c r="F10" s="45">
        <f t="shared" si="0"/>
        <v>81.523223173065389</v>
      </c>
    </row>
    <row r="11" spans="1:24" ht="12.75" customHeight="1" x14ac:dyDescent="0.2">
      <c r="A11" s="63">
        <v>6113</v>
      </c>
      <c r="B11" s="65" t="s">
        <v>25</v>
      </c>
      <c r="C11" s="247" t="s">
        <v>26</v>
      </c>
      <c r="D11" s="194">
        <v>16470.18</v>
      </c>
      <c r="E11" s="194">
        <v>14230.75</v>
      </c>
      <c r="F11" s="45">
        <f t="shared" si="0"/>
        <v>86.403123705994716</v>
      </c>
    </row>
    <row r="12" spans="1:24" ht="12.75" customHeight="1" x14ac:dyDescent="0.2">
      <c r="A12" s="63">
        <v>6114</v>
      </c>
      <c r="B12" s="65" t="s">
        <v>27</v>
      </c>
      <c r="C12" s="247" t="s">
        <v>28</v>
      </c>
      <c r="D12" s="194">
        <v>38552.94</v>
      </c>
      <c r="E12" s="194">
        <v>52892.06</v>
      </c>
      <c r="F12" s="45">
        <f t="shared" si="0"/>
        <v>137.19332429640903</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115424.82</v>
      </c>
      <c r="E15" s="194">
        <v>182117.92</v>
      </c>
      <c r="F15" s="45">
        <f t="shared" si="0"/>
        <v>157.78055361056659</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21213.08</v>
      </c>
      <c r="E23" s="60">
        <f t="shared" si="2"/>
        <v>9571.73</v>
      </c>
      <c r="F23" s="45">
        <f t="shared" si="0"/>
        <v>45.121830493261697</v>
      </c>
    </row>
    <row r="24" spans="1:6" ht="12.75" customHeight="1" x14ac:dyDescent="0.2">
      <c r="A24" s="63">
        <v>6131</v>
      </c>
      <c r="B24" s="65" t="s">
        <v>51</v>
      </c>
      <c r="C24" s="247" t="s">
        <v>52</v>
      </c>
      <c r="D24" s="194">
        <v>7082.66</v>
      </c>
      <c r="E24" s="194">
        <v>313.18</v>
      </c>
      <c r="F24" s="45">
        <f t="shared" si="0"/>
        <v>4.4217850355657342</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14130.42</v>
      </c>
      <c r="E27" s="194">
        <v>9258.5499999999993</v>
      </c>
      <c r="F27" s="45">
        <f t="shared" si="0"/>
        <v>65.522114700058452</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2941.66</v>
      </c>
      <c r="E29" s="60">
        <f>SUM(E30:E35)</f>
        <v>3650.47</v>
      </c>
      <c r="F29" s="45">
        <f t="shared" si="0"/>
        <v>124.09557868686387</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2941.66</v>
      </c>
      <c r="E31" s="194">
        <v>3650.47</v>
      </c>
      <c r="F31" s="45">
        <f t="shared" si="0"/>
        <v>124.09557868686387</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517905.23</v>
      </c>
      <c r="E49" s="60">
        <f>E50+E53+E58+E61+E64+E68+E71+E74+E77</f>
        <v>696766.46</v>
      </c>
      <c r="F49" s="45">
        <f t="shared" si="0"/>
        <v>134.53551337954244</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60519.77</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60519.77</v>
      </c>
      <c r="F57" s="45" t="str">
        <f t="shared" si="0"/>
        <v>-</v>
      </c>
    </row>
    <row r="58" spans="1:6" ht="24" x14ac:dyDescent="0.2">
      <c r="A58" s="63">
        <v>633</v>
      </c>
      <c r="B58" s="65" t="s">
        <v>119</v>
      </c>
      <c r="C58" s="247" t="s">
        <v>120</v>
      </c>
      <c r="D58" s="60">
        <f t="shared" ref="D58:E58" si="9">SUM(D59:D60)</f>
        <v>457128.39</v>
      </c>
      <c r="E58" s="60">
        <f t="shared" si="9"/>
        <v>179555.12</v>
      </c>
      <c r="F58" s="45">
        <f t="shared" si="0"/>
        <v>39.278925555247177</v>
      </c>
    </row>
    <row r="59" spans="1:6" ht="24" x14ac:dyDescent="0.2">
      <c r="A59" s="63">
        <v>6331</v>
      </c>
      <c r="B59" s="65" t="s">
        <v>121</v>
      </c>
      <c r="C59" s="247" t="s">
        <v>122</v>
      </c>
      <c r="D59" s="194">
        <v>388866.9</v>
      </c>
      <c r="E59" s="194">
        <v>8155.12</v>
      </c>
      <c r="F59" s="45">
        <f t="shared" si="0"/>
        <v>2.0971494359638219</v>
      </c>
    </row>
    <row r="60" spans="1:6" ht="24" x14ac:dyDescent="0.2">
      <c r="A60" s="63">
        <v>6332</v>
      </c>
      <c r="B60" s="65" t="s">
        <v>123</v>
      </c>
      <c r="C60" s="247" t="s">
        <v>124</v>
      </c>
      <c r="D60" s="194">
        <v>68261.490000000005</v>
      </c>
      <c r="E60" s="194">
        <v>171400</v>
      </c>
      <c r="F60" s="45">
        <f t="shared" si="0"/>
        <v>251.09325917145958</v>
      </c>
    </row>
    <row r="61" spans="1:6" ht="12.75" customHeight="1" x14ac:dyDescent="0.2">
      <c r="A61" s="63">
        <v>634</v>
      </c>
      <c r="B61" s="65" t="s">
        <v>125</v>
      </c>
      <c r="C61" s="247" t="s">
        <v>126</v>
      </c>
      <c r="D61" s="60">
        <f t="shared" ref="D61:E61" si="10">SUM(D62:D63)</f>
        <v>60776.84</v>
      </c>
      <c r="E61" s="60">
        <f t="shared" si="10"/>
        <v>46413.68</v>
      </c>
      <c r="F61" s="45">
        <f t="shared" si="0"/>
        <v>76.367379416238165</v>
      </c>
    </row>
    <row r="62" spans="1:6" ht="12.75" customHeight="1" x14ac:dyDescent="0.2">
      <c r="A62" s="63">
        <v>6341</v>
      </c>
      <c r="B62" s="65" t="s">
        <v>127</v>
      </c>
      <c r="C62" s="247" t="s">
        <v>128</v>
      </c>
      <c r="D62" s="194">
        <v>47076.06</v>
      </c>
      <c r="E62" s="194">
        <v>46413.68</v>
      </c>
      <c r="F62" s="45">
        <f t="shared" si="0"/>
        <v>98.592957864358226</v>
      </c>
    </row>
    <row r="63" spans="1:6" ht="12.75" customHeight="1" x14ac:dyDescent="0.2">
      <c r="A63" s="63">
        <v>6342</v>
      </c>
      <c r="B63" s="65" t="s">
        <v>129</v>
      </c>
      <c r="C63" s="247" t="s">
        <v>130</v>
      </c>
      <c r="D63" s="194">
        <v>13700.78</v>
      </c>
      <c r="E63" s="194">
        <v>0</v>
      </c>
      <c r="F63" s="45">
        <f t="shared" si="0"/>
        <v>0</v>
      </c>
    </row>
    <row r="64" spans="1:6" ht="24" x14ac:dyDescent="0.2">
      <c r="A64" s="63">
        <v>635</v>
      </c>
      <c r="B64" s="65" t="s">
        <v>131</v>
      </c>
      <c r="C64" s="247" t="s">
        <v>132</v>
      </c>
      <c r="D64" s="60">
        <f>SUM(D65:D67)</f>
        <v>0</v>
      </c>
      <c r="E64" s="60">
        <f>SUM(E65:E67)</f>
        <v>410277.89</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410277.89</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707.14</v>
      </c>
      <c r="E82" s="60">
        <f t="shared" si="15"/>
        <v>1509.79</v>
      </c>
      <c r="F82" s="45">
        <f t="shared" si="0"/>
        <v>213.50651921825948</v>
      </c>
    </row>
    <row r="83" spans="1:6" ht="12.75" customHeight="1" x14ac:dyDescent="0.2">
      <c r="A83" s="63">
        <v>641</v>
      </c>
      <c r="B83" s="64" t="s">
        <v>169</v>
      </c>
      <c r="C83" s="247" t="s">
        <v>170</v>
      </c>
      <c r="D83" s="60">
        <f t="shared" ref="D83:E83" si="16">SUM(D84:D90)</f>
        <v>373.71000000000004</v>
      </c>
      <c r="E83" s="60">
        <f t="shared" si="16"/>
        <v>333.15</v>
      </c>
      <c r="F83" s="45">
        <f t="shared" si="0"/>
        <v>89.146664525969328</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2.17</v>
      </c>
      <c r="E85" s="194">
        <v>192.32</v>
      </c>
      <c r="F85" s="45">
        <f t="shared" si="0"/>
        <v>8862.672811059907</v>
      </c>
    </row>
    <row r="86" spans="1:6" ht="12.75" customHeight="1" x14ac:dyDescent="0.2">
      <c r="A86" s="63">
        <v>6414</v>
      </c>
      <c r="B86" s="64" t="s">
        <v>175</v>
      </c>
      <c r="C86" s="247" t="s">
        <v>176</v>
      </c>
      <c r="D86" s="194">
        <v>371.54</v>
      </c>
      <c r="E86" s="194">
        <v>140.83000000000001</v>
      </c>
      <c r="F86" s="45">
        <f t="shared" si="0"/>
        <v>37.904397911395819</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333.42999999999995</v>
      </c>
      <c r="E91" s="60">
        <f t="shared" si="17"/>
        <v>1176.6400000000001</v>
      </c>
      <c r="F91" s="45">
        <f t="shared" si="0"/>
        <v>352.8896619980207</v>
      </c>
    </row>
    <row r="92" spans="1:6" ht="12.75" customHeight="1" x14ac:dyDescent="0.2">
      <c r="A92" s="63">
        <v>6421</v>
      </c>
      <c r="B92" s="64" t="s">
        <v>187</v>
      </c>
      <c r="C92" s="247" t="s">
        <v>188</v>
      </c>
      <c r="D92" s="194">
        <v>34.4</v>
      </c>
      <c r="E92" s="194">
        <v>22.32</v>
      </c>
      <c r="F92" s="45">
        <f t="shared" si="0"/>
        <v>64.883720930232556</v>
      </c>
    </row>
    <row r="93" spans="1:6" ht="12.75" customHeight="1" x14ac:dyDescent="0.2">
      <c r="A93" s="63">
        <v>6422</v>
      </c>
      <c r="B93" s="64" t="s">
        <v>189</v>
      </c>
      <c r="C93" s="247" t="s">
        <v>190</v>
      </c>
      <c r="D93" s="194">
        <v>256</v>
      </c>
      <c r="E93" s="194">
        <v>768</v>
      </c>
      <c r="F93" s="45">
        <f t="shared" si="0"/>
        <v>300</v>
      </c>
    </row>
    <row r="94" spans="1:6" ht="12.75" customHeight="1" x14ac:dyDescent="0.2">
      <c r="A94" s="63">
        <v>6423</v>
      </c>
      <c r="B94" s="64" t="s">
        <v>191</v>
      </c>
      <c r="C94" s="247" t="s">
        <v>192</v>
      </c>
      <c r="D94" s="194">
        <v>3.21</v>
      </c>
      <c r="E94" s="194">
        <v>3.76</v>
      </c>
      <c r="F94" s="45">
        <f t="shared" si="0"/>
        <v>117.13395638629282</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39.82</v>
      </c>
      <c r="E97" s="194">
        <v>382.56</v>
      </c>
      <c r="F97" s="45">
        <f t="shared" si="0"/>
        <v>960.72325464590665</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75814.17</v>
      </c>
      <c r="E106" s="60">
        <f>E107+E112+E120+E124</f>
        <v>62623.619999999995</v>
      </c>
      <c r="F106" s="45">
        <f t="shared" si="0"/>
        <v>82.601471466349892</v>
      </c>
    </row>
    <row r="107" spans="1:6" ht="12.75" customHeight="1" x14ac:dyDescent="0.2">
      <c r="A107" s="63">
        <v>651</v>
      </c>
      <c r="B107" s="64" t="s">
        <v>217</v>
      </c>
      <c r="C107" s="247" t="s">
        <v>218</v>
      </c>
      <c r="D107" s="60">
        <f t="shared" ref="D107:E107" si="19">SUM(D108:D111)</f>
        <v>1178.0899999999999</v>
      </c>
      <c r="E107" s="60">
        <f t="shared" si="19"/>
        <v>1174.6500000000001</v>
      </c>
      <c r="F107" s="45">
        <f t="shared" si="0"/>
        <v>99.708001935336029</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167.22</v>
      </c>
      <c r="E109" s="194">
        <v>176.51</v>
      </c>
      <c r="F109" s="45">
        <f t="shared" si="0"/>
        <v>105.55555555555556</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1010.87</v>
      </c>
      <c r="E111" s="194">
        <v>998.14</v>
      </c>
      <c r="F111" s="45">
        <f t="shared" si="0"/>
        <v>98.74068871368226</v>
      </c>
    </row>
    <row r="112" spans="1:6" ht="12.75" customHeight="1" x14ac:dyDescent="0.2">
      <c r="A112" s="63">
        <v>652</v>
      </c>
      <c r="B112" s="64" t="s">
        <v>227</v>
      </c>
      <c r="C112" s="247" t="s">
        <v>228</v>
      </c>
      <c r="D112" s="60">
        <f t="shared" ref="D112:E112" si="20">SUM(D113:D119)</f>
        <v>21802.73</v>
      </c>
      <c r="E112" s="60">
        <f t="shared" si="20"/>
        <v>9856.7199999999993</v>
      </c>
      <c r="F112" s="45">
        <f t="shared" si="0"/>
        <v>45.208650476339429</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162.31</v>
      </c>
      <c r="E114" s="194">
        <v>0</v>
      </c>
      <c r="F114" s="45">
        <f t="shared" si="0"/>
        <v>0</v>
      </c>
    </row>
    <row r="115" spans="1:6" ht="12.75" customHeight="1" x14ac:dyDescent="0.2">
      <c r="A115" s="63">
        <v>6524</v>
      </c>
      <c r="B115" s="64" t="s">
        <v>233</v>
      </c>
      <c r="C115" s="247" t="s">
        <v>234</v>
      </c>
      <c r="D115" s="194">
        <v>12716.27</v>
      </c>
      <c r="E115" s="194">
        <v>7654.48</v>
      </c>
      <c r="F115" s="45">
        <f t="shared" si="0"/>
        <v>60.194380899430413</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8924.15</v>
      </c>
      <c r="E117" s="194">
        <v>2202.2399999999998</v>
      </c>
      <c r="F117" s="45">
        <f t="shared" si="0"/>
        <v>24.677308203022136</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52833.35</v>
      </c>
      <c r="E120" s="60">
        <f t="shared" si="21"/>
        <v>51592.25</v>
      </c>
      <c r="F120" s="45">
        <f t="shared" si="0"/>
        <v>97.650915567534526</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52833.35</v>
      </c>
      <c r="E122" s="194">
        <v>51592.25</v>
      </c>
      <c r="F122" s="45">
        <f t="shared" si="0"/>
        <v>97.650915567534526</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c r="E124" s="192">
        <v>0</v>
      </c>
      <c r="F124" s="71" t="str">
        <f t="shared" si="0"/>
        <v>-</v>
      </c>
    </row>
    <row r="125" spans="1:6" ht="24" x14ac:dyDescent="0.2">
      <c r="A125" s="63">
        <v>66</v>
      </c>
      <c r="B125" s="182" t="s">
        <v>253</v>
      </c>
      <c r="C125" s="247" t="s">
        <v>254</v>
      </c>
      <c r="D125" s="60">
        <f t="shared" ref="D125:E125" si="22">D126+D129</f>
        <v>25892.06</v>
      </c>
      <c r="E125" s="60">
        <f t="shared" si="22"/>
        <v>0</v>
      </c>
      <c r="F125" s="45">
        <f t="shared" si="0"/>
        <v>0</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25892.06</v>
      </c>
      <c r="E129" s="60">
        <f t="shared" si="24"/>
        <v>0</v>
      </c>
      <c r="F129" s="45">
        <f t="shared" si="0"/>
        <v>0</v>
      </c>
    </row>
    <row r="130" spans="1:6" ht="12.75" customHeight="1" x14ac:dyDescent="0.2">
      <c r="A130" s="63">
        <v>6631</v>
      </c>
      <c r="B130" s="65" t="s">
        <v>263</v>
      </c>
      <c r="C130" s="247" t="s">
        <v>264</v>
      </c>
      <c r="D130" s="194">
        <v>25892.06</v>
      </c>
      <c r="E130" s="194">
        <v>0</v>
      </c>
      <c r="F130" s="45">
        <f t="shared" si="0"/>
        <v>0</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1500</v>
      </c>
      <c r="E140" s="60">
        <f t="shared" si="28"/>
        <v>0</v>
      </c>
      <c r="F140" s="45">
        <f t="shared" si="26"/>
        <v>0</v>
      </c>
    </row>
    <row r="141" spans="1:6" ht="12.75" customHeight="1" x14ac:dyDescent="0.2">
      <c r="A141" s="63">
        <v>681</v>
      </c>
      <c r="B141" s="65" t="s">
        <v>285</v>
      </c>
      <c r="C141" s="247" t="s">
        <v>286</v>
      </c>
      <c r="D141" s="60">
        <f t="shared" ref="D141:E141" si="29">SUM(D142:D150)</f>
        <v>1500</v>
      </c>
      <c r="E141" s="60">
        <f t="shared" si="29"/>
        <v>0</v>
      </c>
      <c r="F141" s="45">
        <f t="shared" si="26"/>
        <v>0</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1500</v>
      </c>
      <c r="E150" s="194">
        <v>0</v>
      </c>
      <c r="F150" s="45">
        <f t="shared" si="26"/>
        <v>0</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1224679.26</v>
      </c>
      <c r="E152" s="60">
        <f>E153+E164+E202+E221+E230+E262+E273</f>
        <v>1261800.2300000002</v>
      </c>
      <c r="F152" s="45">
        <f t="shared" si="26"/>
        <v>103.03107688783757</v>
      </c>
    </row>
    <row r="153" spans="1:6" ht="12.75" customHeight="1" x14ac:dyDescent="0.2">
      <c r="A153" s="63">
        <v>31</v>
      </c>
      <c r="B153" s="64" t="s">
        <v>308</v>
      </c>
      <c r="C153" s="247" t="s">
        <v>309</v>
      </c>
      <c r="D153" s="60">
        <f t="shared" ref="D153:E153" si="30">D154+D159+D160</f>
        <v>136063.91999999998</v>
      </c>
      <c r="E153" s="60">
        <f t="shared" si="30"/>
        <v>184225.7</v>
      </c>
      <c r="F153" s="45">
        <f t="shared" si="26"/>
        <v>135.39643720392593</v>
      </c>
    </row>
    <row r="154" spans="1:6" ht="12.75" customHeight="1" x14ac:dyDescent="0.2">
      <c r="A154" s="63">
        <v>311</v>
      </c>
      <c r="B154" s="64" t="s">
        <v>310</v>
      </c>
      <c r="C154" s="247" t="s">
        <v>311</v>
      </c>
      <c r="D154" s="60">
        <f t="shared" ref="D154:E154" si="31">SUM(D155:D158)</f>
        <v>105190.34</v>
      </c>
      <c r="E154" s="60">
        <f t="shared" si="31"/>
        <v>124906.41</v>
      </c>
      <c r="F154" s="45">
        <f t="shared" si="26"/>
        <v>118.74323250595064</v>
      </c>
    </row>
    <row r="155" spans="1:6" ht="12.75" customHeight="1" x14ac:dyDescent="0.2">
      <c r="A155" s="63">
        <v>3111</v>
      </c>
      <c r="B155" s="64" t="s">
        <v>312</v>
      </c>
      <c r="C155" s="247" t="s">
        <v>313</v>
      </c>
      <c r="D155" s="194">
        <v>105190.34</v>
      </c>
      <c r="E155" s="194">
        <v>124906.41</v>
      </c>
      <c r="F155" s="45">
        <f t="shared" si="26"/>
        <v>118.74323250595064</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17330</v>
      </c>
      <c r="E159" s="194">
        <v>40075.69</v>
      </c>
      <c r="F159" s="45">
        <f t="shared" si="26"/>
        <v>231.25037507212926</v>
      </c>
    </row>
    <row r="160" spans="1:6" ht="12.75" customHeight="1" x14ac:dyDescent="0.2">
      <c r="A160" s="63">
        <v>313</v>
      </c>
      <c r="B160" s="65" t="s">
        <v>322</v>
      </c>
      <c r="C160" s="247" t="s">
        <v>323</v>
      </c>
      <c r="D160" s="60">
        <f t="shared" ref="D160:E160" si="32">SUM(D161:D163)</f>
        <v>13543.58</v>
      </c>
      <c r="E160" s="60">
        <f t="shared" si="32"/>
        <v>19243.599999999999</v>
      </c>
      <c r="F160" s="45">
        <f t="shared" si="26"/>
        <v>142.08650888465235</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13543.58</v>
      </c>
      <c r="E162" s="194">
        <v>19243.599999999999</v>
      </c>
      <c r="F162" s="45">
        <f t="shared" si="26"/>
        <v>142.08650888465235</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425715.87</v>
      </c>
      <c r="E164" s="60">
        <f>E165+E170+E178+E188+E189+E194</f>
        <v>360092.41000000003</v>
      </c>
      <c r="F164" s="45">
        <f t="shared" si="26"/>
        <v>84.585150654590365</v>
      </c>
    </row>
    <row r="165" spans="1:6" ht="12.75" customHeight="1" x14ac:dyDescent="0.2">
      <c r="A165" s="63">
        <v>321</v>
      </c>
      <c r="B165" s="64" t="s">
        <v>332</v>
      </c>
      <c r="C165" s="247" t="s">
        <v>333</v>
      </c>
      <c r="D165" s="60">
        <f t="shared" ref="D165:E165" si="33">SUM(D166:D169)</f>
        <v>2976.1</v>
      </c>
      <c r="E165" s="60">
        <f t="shared" si="33"/>
        <v>7631.08</v>
      </c>
      <c r="F165" s="45">
        <f t="shared" si="26"/>
        <v>256.41208292732102</v>
      </c>
    </row>
    <row r="166" spans="1:6" ht="12.75" customHeight="1" x14ac:dyDescent="0.2">
      <c r="A166" s="63">
        <v>3211</v>
      </c>
      <c r="B166" s="64" t="s">
        <v>334</v>
      </c>
      <c r="C166" s="247" t="s">
        <v>335</v>
      </c>
      <c r="D166" s="194">
        <v>15</v>
      </c>
      <c r="E166" s="194">
        <v>300</v>
      </c>
      <c r="F166" s="45">
        <f t="shared" si="26"/>
        <v>2000</v>
      </c>
    </row>
    <row r="167" spans="1:6" ht="12.75" customHeight="1" x14ac:dyDescent="0.2">
      <c r="A167" s="63">
        <v>3212</v>
      </c>
      <c r="B167" s="64" t="s">
        <v>336</v>
      </c>
      <c r="C167" s="247" t="s">
        <v>337</v>
      </c>
      <c r="D167" s="194">
        <v>2073.06</v>
      </c>
      <c r="E167" s="194">
        <v>3635.36</v>
      </c>
      <c r="F167" s="45">
        <f t="shared" si="26"/>
        <v>175.36202521875873</v>
      </c>
    </row>
    <row r="168" spans="1:6" ht="12.75" customHeight="1" x14ac:dyDescent="0.2">
      <c r="A168" s="63">
        <v>3213</v>
      </c>
      <c r="B168" s="64" t="s">
        <v>338</v>
      </c>
      <c r="C168" s="247" t="s">
        <v>339</v>
      </c>
      <c r="D168" s="194">
        <v>136.54</v>
      </c>
      <c r="E168" s="194">
        <v>1208.72</v>
      </c>
      <c r="F168" s="45">
        <f t="shared" si="26"/>
        <v>885.24974366486015</v>
      </c>
    </row>
    <row r="169" spans="1:6" ht="12.75" customHeight="1" x14ac:dyDescent="0.2">
      <c r="A169" s="63">
        <v>3214</v>
      </c>
      <c r="B169" s="64" t="s">
        <v>340</v>
      </c>
      <c r="C169" s="247" t="s">
        <v>341</v>
      </c>
      <c r="D169" s="194">
        <v>751.5</v>
      </c>
      <c r="E169" s="194">
        <v>2487</v>
      </c>
      <c r="F169" s="45">
        <f t="shared" si="26"/>
        <v>330.93812375249502</v>
      </c>
    </row>
    <row r="170" spans="1:6" ht="12.75" customHeight="1" x14ac:dyDescent="0.2">
      <c r="A170" s="63">
        <v>322</v>
      </c>
      <c r="B170" s="64" t="s">
        <v>342</v>
      </c>
      <c r="C170" s="247" t="s">
        <v>343</v>
      </c>
      <c r="D170" s="60">
        <f t="shared" ref="D170:E170" si="34">SUM(D171:D177)</f>
        <v>46321.48</v>
      </c>
      <c r="E170" s="60">
        <f t="shared" si="34"/>
        <v>44468.49</v>
      </c>
      <c r="F170" s="45">
        <f t="shared" si="26"/>
        <v>95.999717625602614</v>
      </c>
    </row>
    <row r="171" spans="1:6" ht="12.75" customHeight="1" x14ac:dyDescent="0.2">
      <c r="A171" s="63">
        <v>3221</v>
      </c>
      <c r="B171" s="64" t="s">
        <v>344</v>
      </c>
      <c r="C171" s="247" t="s">
        <v>345</v>
      </c>
      <c r="D171" s="194">
        <v>7304.73</v>
      </c>
      <c r="E171" s="194">
        <v>4111.04</v>
      </c>
      <c r="F171" s="45">
        <f t="shared" si="26"/>
        <v>56.279150632535355</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31152.47</v>
      </c>
      <c r="E173" s="194">
        <v>36715.019999999997</v>
      </c>
      <c r="F173" s="45">
        <f t="shared" si="26"/>
        <v>117.85588751068533</v>
      </c>
    </row>
    <row r="174" spans="1:6" ht="12.75" customHeight="1" x14ac:dyDescent="0.2">
      <c r="A174" s="63">
        <v>3224</v>
      </c>
      <c r="B174" s="65" t="s">
        <v>350</v>
      </c>
      <c r="C174" s="247" t="s">
        <v>351</v>
      </c>
      <c r="D174" s="194">
        <v>6959.66</v>
      </c>
      <c r="E174" s="194">
        <v>1565.75</v>
      </c>
      <c r="F174" s="45">
        <f t="shared" si="26"/>
        <v>22.497507062126598</v>
      </c>
    </row>
    <row r="175" spans="1:6" ht="12.75" customHeight="1" x14ac:dyDescent="0.2">
      <c r="A175" s="63">
        <v>3225</v>
      </c>
      <c r="B175" s="65" t="s">
        <v>352</v>
      </c>
      <c r="C175" s="247" t="s">
        <v>353</v>
      </c>
      <c r="D175" s="194">
        <v>904.62</v>
      </c>
      <c r="E175" s="194">
        <v>2076.6799999999998</v>
      </c>
      <c r="F175" s="45">
        <f t="shared" si="26"/>
        <v>229.56379474254382</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294843.17</v>
      </c>
      <c r="E178" s="60">
        <f t="shared" si="35"/>
        <v>223484.99000000002</v>
      </c>
      <c r="F178" s="45">
        <f t="shared" si="26"/>
        <v>75.797919958600374</v>
      </c>
    </row>
    <row r="179" spans="1:6" ht="12.75" customHeight="1" x14ac:dyDescent="0.2">
      <c r="A179" s="63">
        <v>3231</v>
      </c>
      <c r="B179" s="65" t="s">
        <v>360</v>
      </c>
      <c r="C179" s="247" t="s">
        <v>361</v>
      </c>
      <c r="D179" s="194">
        <v>8249.69</v>
      </c>
      <c r="E179" s="194">
        <v>7047.68</v>
      </c>
      <c r="F179" s="45">
        <f t="shared" si="26"/>
        <v>85.429634325653453</v>
      </c>
    </row>
    <row r="180" spans="1:6" ht="12.75" customHeight="1" x14ac:dyDescent="0.2">
      <c r="A180" s="63">
        <v>3232</v>
      </c>
      <c r="B180" s="65" t="s">
        <v>362</v>
      </c>
      <c r="C180" s="247" t="s">
        <v>363</v>
      </c>
      <c r="D180" s="194">
        <v>217338.29</v>
      </c>
      <c r="E180" s="194">
        <v>105791.32</v>
      </c>
      <c r="F180" s="45">
        <f t="shared" si="26"/>
        <v>48.675877591564749</v>
      </c>
    </row>
    <row r="181" spans="1:6" ht="12.75" customHeight="1" x14ac:dyDescent="0.2">
      <c r="A181" s="63">
        <v>3233</v>
      </c>
      <c r="B181" s="65" t="s">
        <v>364</v>
      </c>
      <c r="C181" s="247" t="s">
        <v>365</v>
      </c>
      <c r="D181" s="194">
        <v>3966.96</v>
      </c>
      <c r="E181" s="194">
        <v>4843.8</v>
      </c>
      <c r="F181" s="45">
        <f t="shared" si="26"/>
        <v>122.10357553391009</v>
      </c>
    </row>
    <row r="182" spans="1:6" ht="12.75" customHeight="1" x14ac:dyDescent="0.2">
      <c r="A182" s="63">
        <v>3234</v>
      </c>
      <c r="B182" s="65" t="s">
        <v>366</v>
      </c>
      <c r="C182" s="247" t="s">
        <v>367</v>
      </c>
      <c r="D182" s="194">
        <v>14055.03</v>
      </c>
      <c r="E182" s="194">
        <v>13342.91</v>
      </c>
      <c r="F182" s="45">
        <f t="shared" si="26"/>
        <v>94.933344147966949</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6423.49</v>
      </c>
      <c r="E184" s="194">
        <v>5081.03</v>
      </c>
      <c r="F184" s="45">
        <f t="shared" si="26"/>
        <v>79.100769208016203</v>
      </c>
    </row>
    <row r="185" spans="1:6" ht="12.75" customHeight="1" x14ac:dyDescent="0.2">
      <c r="A185" s="63">
        <v>3237</v>
      </c>
      <c r="B185" s="64" t="s">
        <v>372</v>
      </c>
      <c r="C185" s="247" t="s">
        <v>373</v>
      </c>
      <c r="D185" s="194">
        <v>25806.39</v>
      </c>
      <c r="E185" s="194">
        <v>50237.5</v>
      </c>
      <c r="F185" s="45">
        <f t="shared" si="26"/>
        <v>194.67077727648075</v>
      </c>
    </row>
    <row r="186" spans="1:6" ht="12.75" customHeight="1" x14ac:dyDescent="0.2">
      <c r="A186" s="63">
        <v>3238</v>
      </c>
      <c r="B186" s="64" t="s">
        <v>374</v>
      </c>
      <c r="C186" s="247" t="s">
        <v>375</v>
      </c>
      <c r="D186" s="194">
        <v>4762.6400000000003</v>
      </c>
      <c r="E186" s="194">
        <v>11199.9</v>
      </c>
      <c r="F186" s="45">
        <f t="shared" si="26"/>
        <v>235.16159105034183</v>
      </c>
    </row>
    <row r="187" spans="1:6" ht="12.75" customHeight="1" x14ac:dyDescent="0.2">
      <c r="A187" s="63">
        <v>3239</v>
      </c>
      <c r="B187" s="64" t="s">
        <v>376</v>
      </c>
      <c r="C187" s="247" t="s">
        <v>377</v>
      </c>
      <c r="D187" s="194">
        <v>14240.68</v>
      </c>
      <c r="E187" s="194">
        <v>25940.85</v>
      </c>
      <c r="F187" s="45">
        <f t="shared" si="26"/>
        <v>182.16019178859435</v>
      </c>
    </row>
    <row r="188" spans="1:6" ht="12.75" customHeight="1" x14ac:dyDescent="0.2">
      <c r="A188" s="63">
        <v>324</v>
      </c>
      <c r="B188" s="64" t="s">
        <v>378</v>
      </c>
      <c r="C188" s="247" t="s">
        <v>379</v>
      </c>
      <c r="D188" s="194">
        <v>30609.97</v>
      </c>
      <c r="E188" s="194">
        <v>0</v>
      </c>
      <c r="F188" s="45">
        <f t="shared" si="26"/>
        <v>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v>0</v>
      </c>
      <c r="F190" s="71" t="str">
        <f>IF(D190&lt;&gt;0,IF(E190/D190&gt;=100,"&gt;&gt;100",E190/D190*100),"-")</f>
        <v>-</v>
      </c>
    </row>
    <row r="191" spans="1:6" ht="12.75" customHeight="1" x14ac:dyDescent="0.2">
      <c r="A191" s="70" t="s">
        <v>384</v>
      </c>
      <c r="B191" s="65" t="s">
        <v>385</v>
      </c>
      <c r="C191" s="277" t="s">
        <v>384</v>
      </c>
      <c r="D191" s="192"/>
      <c r="E191" s="192">
        <v>0</v>
      </c>
      <c r="F191" s="71" t="str">
        <f>IF(D191&lt;&gt;0,IF(E191/D191&gt;=100,"&gt;&gt;100",E191/D191*100),"-")</f>
        <v>-</v>
      </c>
    </row>
    <row r="192" spans="1:6" ht="12.75" customHeight="1" x14ac:dyDescent="0.2">
      <c r="A192" s="70" t="s">
        <v>386</v>
      </c>
      <c r="B192" s="65" t="s">
        <v>387</v>
      </c>
      <c r="C192" s="277" t="s">
        <v>386</v>
      </c>
      <c r="D192" s="192"/>
      <c r="E192" s="192">
        <v>0</v>
      </c>
      <c r="F192" s="71" t="str">
        <f>IF(D192&lt;&gt;0,IF(E192/D192&gt;=100,"&gt;&gt;100",E192/D192*100),"-")</f>
        <v>-</v>
      </c>
    </row>
    <row r="193" spans="1:6" ht="12.75" customHeight="1" x14ac:dyDescent="0.2">
      <c r="A193" s="70" t="s">
        <v>388</v>
      </c>
      <c r="B193" s="65" t="s">
        <v>389</v>
      </c>
      <c r="C193" s="277" t="s">
        <v>388</v>
      </c>
      <c r="D193" s="192"/>
      <c r="E193" s="192">
        <v>0</v>
      </c>
      <c r="F193" s="71" t="str">
        <f>IF(D193&lt;&gt;0,IF(E193/D193&gt;=100,"&gt;&gt;100",E193/D193*100),"-")</f>
        <v>-</v>
      </c>
    </row>
    <row r="194" spans="1:6" ht="12.75" customHeight="1" x14ac:dyDescent="0.2">
      <c r="A194" s="63">
        <v>329</v>
      </c>
      <c r="B194" s="64" t="s">
        <v>390</v>
      </c>
      <c r="C194" s="247" t="s">
        <v>391</v>
      </c>
      <c r="D194" s="60">
        <f t="shared" ref="D194:E194" si="36">SUM(D195:D201)</f>
        <v>50965.15</v>
      </c>
      <c r="E194" s="60">
        <f t="shared" si="36"/>
        <v>84507.85</v>
      </c>
      <c r="F194" s="45">
        <f t="shared" si="26"/>
        <v>165.81497356526961</v>
      </c>
    </row>
    <row r="195" spans="1:6" ht="12.75" customHeight="1" x14ac:dyDescent="0.2">
      <c r="A195" s="63">
        <v>3291</v>
      </c>
      <c r="B195" s="183" t="s">
        <v>392</v>
      </c>
      <c r="C195" s="247" t="s">
        <v>393</v>
      </c>
      <c r="D195" s="194">
        <v>25214.66</v>
      </c>
      <c r="E195" s="194">
        <v>15291.4</v>
      </c>
      <c r="F195" s="45">
        <f t="shared" si="26"/>
        <v>60.644878812563796</v>
      </c>
    </row>
    <row r="196" spans="1:6" ht="12.75" customHeight="1" x14ac:dyDescent="0.2">
      <c r="A196" s="63">
        <v>3292</v>
      </c>
      <c r="B196" s="64" t="s">
        <v>394</v>
      </c>
      <c r="C196" s="247" t="s">
        <v>395</v>
      </c>
      <c r="D196" s="194">
        <v>1284.67</v>
      </c>
      <c r="E196" s="194">
        <v>3603.81</v>
      </c>
      <c r="F196" s="45">
        <f t="shared" si="26"/>
        <v>280.52418130726176</v>
      </c>
    </row>
    <row r="197" spans="1:6" ht="12.75" customHeight="1" x14ac:dyDescent="0.2">
      <c r="A197" s="63">
        <v>3293</v>
      </c>
      <c r="B197" s="64" t="s">
        <v>396</v>
      </c>
      <c r="C197" s="247" t="s">
        <v>397</v>
      </c>
      <c r="D197" s="194">
        <v>1486.64</v>
      </c>
      <c r="E197" s="194">
        <v>3987.96</v>
      </c>
      <c r="F197" s="45">
        <f t="shared" si="26"/>
        <v>268.2532422106226</v>
      </c>
    </row>
    <row r="198" spans="1:6" ht="12.75" customHeight="1" x14ac:dyDescent="0.2">
      <c r="A198" s="63">
        <v>3294</v>
      </c>
      <c r="B198" s="64" t="s">
        <v>398</v>
      </c>
      <c r="C198" s="247" t="s">
        <v>399</v>
      </c>
      <c r="D198" s="194">
        <v>4840.29</v>
      </c>
      <c r="E198" s="194">
        <v>4475</v>
      </c>
      <c r="F198" s="45">
        <f t="shared" si="26"/>
        <v>92.45313813841733</v>
      </c>
    </row>
    <row r="199" spans="1:6" ht="12.75" customHeight="1" x14ac:dyDescent="0.2">
      <c r="A199" s="63">
        <v>3295</v>
      </c>
      <c r="B199" s="64" t="s">
        <v>400</v>
      </c>
      <c r="C199" s="247" t="s">
        <v>401</v>
      </c>
      <c r="D199" s="194">
        <v>2629.03</v>
      </c>
      <c r="E199" s="194">
        <v>6461.6</v>
      </c>
      <c r="F199" s="45">
        <f t="shared" si="26"/>
        <v>245.77886140515704</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15509.86</v>
      </c>
      <c r="E201" s="194">
        <v>50688.08</v>
      </c>
      <c r="F201" s="45">
        <f t="shared" si="26"/>
        <v>326.81197638147603</v>
      </c>
    </row>
    <row r="202" spans="1:6" ht="12.75" customHeight="1" x14ac:dyDescent="0.2">
      <c r="A202" s="63">
        <v>34</v>
      </c>
      <c r="B202" s="183" t="s">
        <v>406</v>
      </c>
      <c r="C202" s="247" t="s">
        <v>407</v>
      </c>
      <c r="D202" s="60">
        <f t="shared" ref="D202:E202" si="37">D203+D208+D216</f>
        <v>10665.09</v>
      </c>
      <c r="E202" s="60">
        <f t="shared" si="37"/>
        <v>14122.09</v>
      </c>
      <c r="F202" s="45">
        <f t="shared" si="26"/>
        <v>132.41416621894425</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7918.99</v>
      </c>
      <c r="E208" s="60">
        <f t="shared" si="39"/>
        <v>10145.65</v>
      </c>
      <c r="F208" s="45">
        <f t="shared" si="26"/>
        <v>128.11797969185463</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7918.99</v>
      </c>
      <c r="E211" s="194">
        <v>10145.65</v>
      </c>
      <c r="F211" s="45">
        <f t="shared" si="26"/>
        <v>128.11797969185463</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2746.1</v>
      </c>
      <c r="E216" s="60">
        <f t="shared" si="40"/>
        <v>3976.44</v>
      </c>
      <c r="F216" s="45">
        <f t="shared" si="26"/>
        <v>144.80317541240305</v>
      </c>
    </row>
    <row r="217" spans="1:6" ht="12.75" customHeight="1" x14ac:dyDescent="0.2">
      <c r="A217" s="63">
        <v>3431</v>
      </c>
      <c r="B217" s="182" t="s">
        <v>436</v>
      </c>
      <c r="C217" s="247" t="s">
        <v>437</v>
      </c>
      <c r="D217" s="194">
        <v>2731.6</v>
      </c>
      <c r="E217" s="194">
        <v>2801.41</v>
      </c>
      <c r="F217" s="45">
        <f t="shared" si="26"/>
        <v>102.55564504319811</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13.87</v>
      </c>
      <c r="E219" s="194">
        <v>19.510000000000002</v>
      </c>
      <c r="F219" s="45">
        <f t="shared" si="26"/>
        <v>140.66330209084356</v>
      </c>
    </row>
    <row r="220" spans="1:6" ht="12.75" customHeight="1" x14ac:dyDescent="0.2">
      <c r="A220" s="63">
        <v>3434</v>
      </c>
      <c r="B220" s="65" t="s">
        <v>442</v>
      </c>
      <c r="C220" s="247" t="s">
        <v>443</v>
      </c>
      <c r="D220" s="194">
        <v>0.63</v>
      </c>
      <c r="E220" s="194">
        <v>1155.52</v>
      </c>
      <c r="F220" s="45" t="str">
        <f t="shared" si="26"/>
        <v>&gt;&gt;100</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299968.67000000004</v>
      </c>
      <c r="E230" s="60">
        <f>E231+E234+E237+E242+E246+E250+E254+E257</f>
        <v>397365.92</v>
      </c>
      <c r="F230" s="45">
        <f t="shared" ref="F230:F245" si="44">IF(D230&lt;&gt;0,IF(E230/D230&gt;=100,"&gt;&gt;100",E230/D230*100),"-")</f>
        <v>132.46914086061054</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v>0</v>
      </c>
      <c r="F243" s="71" t="str">
        <f t="shared" si="44"/>
        <v>-</v>
      </c>
    </row>
    <row r="244" spans="1:6" ht="12" x14ac:dyDescent="0.2">
      <c r="A244" s="70" t="s">
        <v>489</v>
      </c>
      <c r="B244" s="65" t="s">
        <v>135</v>
      </c>
      <c r="C244" s="277" t="s">
        <v>489</v>
      </c>
      <c r="D244" s="192"/>
      <c r="E244" s="192">
        <v>0</v>
      </c>
      <c r="F244" s="71" t="str">
        <f t="shared" si="44"/>
        <v>-</v>
      </c>
    </row>
    <row r="245" spans="1:6" ht="12" x14ac:dyDescent="0.2">
      <c r="A245" s="70" t="s">
        <v>490</v>
      </c>
      <c r="B245" s="65" t="s">
        <v>138</v>
      </c>
      <c r="C245" s="277" t="s">
        <v>490</v>
      </c>
      <c r="D245" s="192"/>
      <c r="E245" s="192">
        <v>0</v>
      </c>
      <c r="F245" s="71" t="str">
        <f t="shared" si="44"/>
        <v>-</v>
      </c>
    </row>
    <row r="246" spans="1:6" ht="12.75" customHeight="1" x14ac:dyDescent="0.2">
      <c r="A246" s="63" t="s">
        <v>491</v>
      </c>
      <c r="B246" s="65" t="s">
        <v>492</v>
      </c>
      <c r="C246" s="247" t="s">
        <v>491</v>
      </c>
      <c r="D246" s="60">
        <f t="shared" ref="D246:E246" si="48">SUM(D247:D249)</f>
        <v>23926.33</v>
      </c>
      <c r="E246" s="60">
        <f t="shared" si="48"/>
        <v>44244.86</v>
      </c>
      <c r="F246" s="45">
        <f t="shared" ref="F246:F249" si="49">IF(D246&lt;&gt;0,IF(E246/D246&gt;=100,"&gt;&gt;100",E246/D246*100),"-")</f>
        <v>184.92121441106931</v>
      </c>
    </row>
    <row r="247" spans="1:6" ht="12.75" customHeight="1" x14ac:dyDescent="0.2">
      <c r="A247" s="63" t="s">
        <v>493</v>
      </c>
      <c r="B247" s="64" t="s">
        <v>494</v>
      </c>
      <c r="C247" s="247" t="s">
        <v>493</v>
      </c>
      <c r="D247" s="194">
        <v>23926.33</v>
      </c>
      <c r="E247" s="194">
        <v>44244.86</v>
      </c>
      <c r="F247" s="45">
        <f t="shared" si="49"/>
        <v>184.92121441106931</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276042.34000000003</v>
      </c>
      <c r="E250" s="60">
        <f t="shared" si="50"/>
        <v>353121.06</v>
      </c>
      <c r="F250" s="45">
        <f t="shared" ref="F250:F253" si="51">IF(D250&lt;&gt;0,IF(E250/D250&gt;=100,"&gt;&gt;100",E250/D250*100),"-")</f>
        <v>127.92278894607254</v>
      </c>
    </row>
    <row r="251" spans="1:6" ht="24" x14ac:dyDescent="0.2">
      <c r="A251" s="63">
        <v>3672</v>
      </c>
      <c r="B251" s="64" t="s">
        <v>501</v>
      </c>
      <c r="C251" s="247" t="s">
        <v>502</v>
      </c>
      <c r="D251" s="194">
        <v>276042.34000000003</v>
      </c>
      <c r="E251" s="194">
        <v>353121.06</v>
      </c>
      <c r="F251" s="45">
        <f t="shared" si="51"/>
        <v>127.92278894607254</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37856.11</v>
      </c>
      <c r="E262" s="60">
        <f t="shared" si="55"/>
        <v>45033.509999999995</v>
      </c>
      <c r="F262" s="45">
        <f t="shared" ref="F262:F268" si="56">IF(D262&lt;&gt;0,IF(E262/D262&gt;=100,"&gt;&gt;100",E262/D262*100),"-")</f>
        <v>118.95968708882133</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37856.11</v>
      </c>
      <c r="E269" s="60">
        <f t="shared" si="58"/>
        <v>45033.509999999995</v>
      </c>
      <c r="F269" s="45">
        <f t="shared" ref="F269:F272" si="59">IF(D269&lt;&gt;0,IF(E269/D269&gt;=100,"&gt;&gt;100",E269/D269*100),"-")</f>
        <v>118.95968708882133</v>
      </c>
    </row>
    <row r="270" spans="1:6" ht="12.75" customHeight="1" x14ac:dyDescent="0.2">
      <c r="A270" s="63">
        <v>3721</v>
      </c>
      <c r="B270" s="65" t="s">
        <v>533</v>
      </c>
      <c r="C270" s="247" t="s">
        <v>534</v>
      </c>
      <c r="D270" s="194">
        <v>18191.03</v>
      </c>
      <c r="E270" s="194">
        <v>18993.64</v>
      </c>
      <c r="F270" s="45">
        <f t="shared" si="59"/>
        <v>104.41211959960486</v>
      </c>
    </row>
    <row r="271" spans="1:6" ht="12.75" customHeight="1" x14ac:dyDescent="0.2">
      <c r="A271" s="63">
        <v>3722</v>
      </c>
      <c r="B271" s="65" t="s">
        <v>535</v>
      </c>
      <c r="C271" s="247" t="s">
        <v>536</v>
      </c>
      <c r="D271" s="194">
        <v>19665.080000000002</v>
      </c>
      <c r="E271" s="194">
        <v>26039.87</v>
      </c>
      <c r="F271" s="45">
        <f t="shared" si="59"/>
        <v>132.41680176231165</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314409.59999999998</v>
      </c>
      <c r="E273" s="60">
        <f t="shared" si="60"/>
        <v>260960.6</v>
      </c>
      <c r="F273" s="45">
        <f t="shared" ref="F273:F277" si="61">IF(D273&lt;&gt;0,IF(E273/D273&gt;=100,"&gt;&gt;100",E273/D273*100),"-")</f>
        <v>83.000201011673951</v>
      </c>
    </row>
    <row r="274" spans="1:6" ht="12.75" customHeight="1" x14ac:dyDescent="0.2">
      <c r="A274" s="63">
        <v>381</v>
      </c>
      <c r="B274" s="64" t="s">
        <v>541</v>
      </c>
      <c r="C274" s="247" t="s">
        <v>542</v>
      </c>
      <c r="D274" s="60">
        <f t="shared" ref="D274:E274" si="62">SUM(D275:D277)</f>
        <v>310909.59999999998</v>
      </c>
      <c r="E274" s="60">
        <f t="shared" si="62"/>
        <v>255460.6</v>
      </c>
      <c r="F274" s="45">
        <f t="shared" si="61"/>
        <v>82.165555518388629</v>
      </c>
    </row>
    <row r="275" spans="1:6" ht="12.75" customHeight="1" x14ac:dyDescent="0.2">
      <c r="A275" s="63">
        <v>3811</v>
      </c>
      <c r="B275" s="64" t="s">
        <v>543</v>
      </c>
      <c r="C275" s="247" t="s">
        <v>544</v>
      </c>
      <c r="D275" s="194">
        <v>310909.59999999998</v>
      </c>
      <c r="E275" s="194">
        <v>255460.6</v>
      </c>
      <c r="F275" s="45">
        <f t="shared" si="61"/>
        <v>82.165555518388629</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3500</v>
      </c>
      <c r="E278" s="60">
        <f t="shared" si="63"/>
        <v>5500</v>
      </c>
      <c r="F278" s="45">
        <f t="shared" ref="F278:F282" si="64">IF(D278&lt;&gt;0,IF(E278/D278&gt;=100,"&gt;&gt;100",E278/D278*100),"-")</f>
        <v>157.14285714285714</v>
      </c>
    </row>
    <row r="279" spans="1:6" ht="12.75" customHeight="1" x14ac:dyDescent="0.2">
      <c r="A279" s="63">
        <v>3821</v>
      </c>
      <c r="B279" s="64" t="s">
        <v>551</v>
      </c>
      <c r="C279" s="247" t="s">
        <v>552</v>
      </c>
      <c r="D279" s="194">
        <v>3500</v>
      </c>
      <c r="E279" s="194">
        <v>5500</v>
      </c>
      <c r="F279" s="45">
        <f t="shared" si="64"/>
        <v>157.14285714285714</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1224679.26</v>
      </c>
      <c r="E299" s="60">
        <f>E152-E297+E298</f>
        <v>1261800.2300000002</v>
      </c>
      <c r="F299" s="45">
        <f t="shared" si="68"/>
        <v>103.03107688783757</v>
      </c>
    </row>
    <row r="300" spans="1:6" ht="12.75" customHeight="1" x14ac:dyDescent="0.2">
      <c r="A300" s="63" t="s">
        <v>582</v>
      </c>
      <c r="B300" s="64" t="s">
        <v>593</v>
      </c>
      <c r="C300" s="247" t="s">
        <v>594</v>
      </c>
      <c r="D300" s="60">
        <f>IF(D6&gt;=D299,D6-D299,0)</f>
        <v>187541.44999999972</v>
      </c>
      <c r="E300" s="60">
        <f>IF(E6&gt;=E299,E6-E299,0)</f>
        <v>334725.58999999962</v>
      </c>
      <c r="F300" s="45">
        <f t="shared" si="68"/>
        <v>178.48085849821473</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1615.19</v>
      </c>
      <c r="E302" s="194">
        <v>0</v>
      </c>
      <c r="F302" s="45">
        <f t="shared" si="68"/>
        <v>0</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3740.07</v>
      </c>
      <c r="E304" s="194">
        <v>10590.14</v>
      </c>
      <c r="F304" s="45">
        <f t="shared" si="68"/>
        <v>283.15352386452662</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3" t="s">
        <v>607</v>
      </c>
      <c r="B307" s="374"/>
      <c r="C307" s="171"/>
      <c r="D307" s="43"/>
      <c r="E307" s="43"/>
      <c r="F307" s="44"/>
    </row>
    <row r="308" spans="1:6" ht="12.75" customHeight="1" x14ac:dyDescent="0.2">
      <c r="A308" s="63">
        <v>7</v>
      </c>
      <c r="B308" s="64" t="s">
        <v>608</v>
      </c>
      <c r="C308" s="247" t="s">
        <v>609</v>
      </c>
      <c r="D308" s="60">
        <f t="shared" ref="D308:E308" si="71">D309+D321+D354+D358</f>
        <v>65.69</v>
      </c>
      <c r="E308" s="60">
        <f t="shared" si="71"/>
        <v>23965.93</v>
      </c>
      <c r="F308" s="45" t="str">
        <f t="shared" ref="F308:F428" si="72">IF(D308&lt;&gt;0,IF(E308/D308&gt;=100,"&gt;&gt;100",E308/D308*100),"-")</f>
        <v>&gt;&gt;100</v>
      </c>
    </row>
    <row r="309" spans="1:6" ht="12.75" customHeight="1" x14ac:dyDescent="0.2">
      <c r="A309" s="63">
        <v>71</v>
      </c>
      <c r="B309" s="64" t="s">
        <v>610</v>
      </c>
      <c r="C309" s="247" t="s">
        <v>611</v>
      </c>
      <c r="D309" s="60">
        <f t="shared" ref="D309:E309" si="73">D310+D314</f>
        <v>0</v>
      </c>
      <c r="E309" s="60">
        <f t="shared" si="73"/>
        <v>23912.38</v>
      </c>
      <c r="F309" s="45" t="str">
        <f t="shared" si="72"/>
        <v>-</v>
      </c>
    </row>
    <row r="310" spans="1:6" ht="24" x14ac:dyDescent="0.2">
      <c r="A310" s="63">
        <v>711</v>
      </c>
      <c r="B310" s="64" t="s">
        <v>612</v>
      </c>
      <c r="C310" s="247" t="s">
        <v>613</v>
      </c>
      <c r="D310" s="60">
        <f t="shared" ref="D310:E310" si="74">SUM(D311:D313)</f>
        <v>0</v>
      </c>
      <c r="E310" s="60">
        <f t="shared" si="74"/>
        <v>23912.38</v>
      </c>
      <c r="F310" s="45" t="str">
        <f t="shared" si="72"/>
        <v>-</v>
      </c>
    </row>
    <row r="311" spans="1:6" ht="12.75" customHeight="1" x14ac:dyDescent="0.2">
      <c r="A311" s="63">
        <v>7111</v>
      </c>
      <c r="B311" s="64" t="s">
        <v>614</v>
      </c>
      <c r="C311" s="247" t="s">
        <v>615</v>
      </c>
      <c r="D311" s="194">
        <v>0</v>
      </c>
      <c r="E311" s="194">
        <v>23912.38</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65.69</v>
      </c>
      <c r="E321" s="60">
        <f t="shared" si="76"/>
        <v>53.55</v>
      </c>
      <c r="F321" s="45">
        <f t="shared" si="72"/>
        <v>81.519257116760542</v>
      </c>
    </row>
    <row r="322" spans="1:6" ht="12.75" customHeight="1" x14ac:dyDescent="0.2">
      <c r="A322" s="63">
        <v>721</v>
      </c>
      <c r="B322" s="64" t="s">
        <v>636</v>
      </c>
      <c r="C322" s="247" t="s">
        <v>637</v>
      </c>
      <c r="D322" s="60">
        <f t="shared" ref="D322:E322" si="77">SUM(D323:D326)</f>
        <v>65.69</v>
      </c>
      <c r="E322" s="60">
        <f t="shared" si="77"/>
        <v>53.55</v>
      </c>
      <c r="F322" s="45">
        <f t="shared" si="72"/>
        <v>81.519257116760542</v>
      </c>
    </row>
    <row r="323" spans="1:6" ht="12.75" customHeight="1" x14ac:dyDescent="0.2">
      <c r="A323" s="63">
        <v>7211</v>
      </c>
      <c r="B323" s="64" t="s">
        <v>638</v>
      </c>
      <c r="C323" s="247" t="s">
        <v>639</v>
      </c>
      <c r="D323" s="194">
        <v>65.69</v>
      </c>
      <c r="E323" s="194">
        <v>53.55</v>
      </c>
      <c r="F323" s="45">
        <f t="shared" si="72"/>
        <v>81.519257116760542</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350384.04</v>
      </c>
      <c r="E360" s="60">
        <f t="shared" si="86"/>
        <v>289979.59000000003</v>
      </c>
      <c r="F360" s="45">
        <f t="shared" si="72"/>
        <v>82.760501876740747</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291413.68</v>
      </c>
      <c r="E373" s="60">
        <f t="shared" si="90"/>
        <v>213433.52000000002</v>
      </c>
      <c r="F373" s="45">
        <f t="shared" si="72"/>
        <v>73.240734614792288</v>
      </c>
    </row>
    <row r="374" spans="1:6" ht="12.75" customHeight="1" x14ac:dyDescent="0.2">
      <c r="A374" s="63">
        <v>421</v>
      </c>
      <c r="B374" s="64" t="s">
        <v>732</v>
      </c>
      <c r="C374" s="247" t="s">
        <v>733</v>
      </c>
      <c r="D374" s="60">
        <f t="shared" ref="D374:E374" si="91">SUM(D375:D378)</f>
        <v>239042.43</v>
      </c>
      <c r="E374" s="60">
        <f t="shared" si="91"/>
        <v>213433.52000000002</v>
      </c>
      <c r="F374" s="45">
        <f t="shared" si="72"/>
        <v>89.286876810949437</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77789.94</v>
      </c>
      <c r="F376" s="45" t="str">
        <f t="shared" si="72"/>
        <v>-</v>
      </c>
    </row>
    <row r="377" spans="1:6" ht="12.75" customHeight="1" x14ac:dyDescent="0.2">
      <c r="A377" s="63">
        <v>4213</v>
      </c>
      <c r="B377" s="64" t="s">
        <v>642</v>
      </c>
      <c r="C377" s="247" t="s">
        <v>736</v>
      </c>
      <c r="D377" s="194">
        <v>81584.3</v>
      </c>
      <c r="E377" s="194">
        <v>52670.45</v>
      </c>
      <c r="F377" s="45">
        <f t="shared" si="72"/>
        <v>64.559541480407376</v>
      </c>
    </row>
    <row r="378" spans="1:6" ht="12.75" customHeight="1" x14ac:dyDescent="0.2">
      <c r="A378" s="63">
        <v>4214</v>
      </c>
      <c r="B378" s="64" t="s">
        <v>644</v>
      </c>
      <c r="C378" s="247" t="s">
        <v>737</v>
      </c>
      <c r="D378" s="194">
        <v>157458.13</v>
      </c>
      <c r="E378" s="194">
        <v>82973.13</v>
      </c>
      <c r="F378" s="45">
        <f t="shared" si="72"/>
        <v>52.695360982630746</v>
      </c>
    </row>
    <row r="379" spans="1:6" ht="12.75" customHeight="1" x14ac:dyDescent="0.2">
      <c r="A379" s="63">
        <v>422</v>
      </c>
      <c r="B379" s="64" t="s">
        <v>738</v>
      </c>
      <c r="C379" s="247" t="s">
        <v>739</v>
      </c>
      <c r="D379" s="60">
        <f t="shared" ref="D379:E379" si="92">SUM(D380:D387)</f>
        <v>39255</v>
      </c>
      <c r="E379" s="60">
        <f t="shared" si="92"/>
        <v>0</v>
      </c>
      <c r="F379" s="45">
        <f t="shared" si="72"/>
        <v>0</v>
      </c>
    </row>
    <row r="380" spans="1:6" ht="12.75" customHeight="1" x14ac:dyDescent="0.2">
      <c r="A380" s="63">
        <v>4221</v>
      </c>
      <c r="B380" s="64" t="s">
        <v>648</v>
      </c>
      <c r="C380" s="247" t="s">
        <v>740</v>
      </c>
      <c r="D380" s="194">
        <v>2562.5</v>
      </c>
      <c r="E380" s="194">
        <v>0</v>
      </c>
      <c r="F380" s="45">
        <f t="shared" si="72"/>
        <v>0</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36692.5</v>
      </c>
      <c r="E386" s="194">
        <v>0</v>
      </c>
      <c r="F386" s="45">
        <f t="shared" si="72"/>
        <v>0</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13116.25</v>
      </c>
      <c r="E401" s="60">
        <f t="shared" si="96"/>
        <v>0</v>
      </c>
      <c r="F401" s="45">
        <f t="shared" si="72"/>
        <v>0</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13116.25</v>
      </c>
      <c r="E405" s="194">
        <v>0</v>
      </c>
      <c r="F405" s="45">
        <f t="shared" si="72"/>
        <v>0</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58970.36</v>
      </c>
      <c r="E412" s="60">
        <f t="shared" si="100"/>
        <v>76546.070000000007</v>
      </c>
      <c r="F412" s="45">
        <f t="shared" si="72"/>
        <v>129.80431186107734</v>
      </c>
    </row>
    <row r="413" spans="1:6" ht="12.75" customHeight="1" x14ac:dyDescent="0.2">
      <c r="A413" s="63">
        <v>451</v>
      </c>
      <c r="B413" s="64" t="s">
        <v>785</v>
      </c>
      <c r="C413" s="247" t="s">
        <v>786</v>
      </c>
      <c r="D413" s="194">
        <v>58970.36</v>
      </c>
      <c r="E413" s="194">
        <v>76546.070000000007</v>
      </c>
      <c r="F413" s="45">
        <f t="shared" si="72"/>
        <v>129.80431186107734</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350318.35</v>
      </c>
      <c r="E418" s="60">
        <f t="shared" si="102"/>
        <v>266013.66000000003</v>
      </c>
      <c r="F418" s="45">
        <f t="shared" si="72"/>
        <v>75.934834701065483</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156482</v>
      </c>
      <c r="F420" s="45" t="str">
        <f t="shared" si="72"/>
        <v>-</v>
      </c>
    </row>
    <row r="421" spans="1:6" ht="12.75" customHeight="1" x14ac:dyDescent="0.2">
      <c r="A421" s="63">
        <v>97</v>
      </c>
      <c r="B421" s="220" t="s">
        <v>801</v>
      </c>
      <c r="C421" s="247" t="s">
        <v>802</v>
      </c>
      <c r="D421" s="194">
        <v>453.67</v>
      </c>
      <c r="E421" s="194">
        <v>400.12</v>
      </c>
      <c r="F421" s="45">
        <f t="shared" si="72"/>
        <v>88.196266008332046</v>
      </c>
    </row>
    <row r="422" spans="1:6" ht="12.75" customHeight="1" x14ac:dyDescent="0.2">
      <c r="A422" s="63" t="s">
        <v>582</v>
      </c>
      <c r="B422" s="64" t="s">
        <v>803</v>
      </c>
      <c r="C422" s="247" t="s">
        <v>804</v>
      </c>
      <c r="D422" s="60">
        <f>D6+D308</f>
        <v>1412286.3999999997</v>
      </c>
      <c r="E422" s="60">
        <f>E6+E308</f>
        <v>1620491.7499999998</v>
      </c>
      <c r="F422" s="45">
        <f t="shared" si="72"/>
        <v>114.74243113861324</v>
      </c>
    </row>
    <row r="423" spans="1:6" ht="12.75" customHeight="1" x14ac:dyDescent="0.2">
      <c r="A423" s="63" t="s">
        <v>582</v>
      </c>
      <c r="B423" s="64" t="s">
        <v>805</v>
      </c>
      <c r="C423" s="247" t="s">
        <v>806</v>
      </c>
      <c r="D423" s="60">
        <f t="shared" ref="D423:E423" si="103">D299+D360</f>
        <v>1575063.3</v>
      </c>
      <c r="E423" s="60">
        <f t="shared" si="103"/>
        <v>1551779.8200000003</v>
      </c>
      <c r="F423" s="45">
        <f t="shared" si="72"/>
        <v>98.521743221367686</v>
      </c>
    </row>
    <row r="424" spans="1:6" ht="12.75" customHeight="1" x14ac:dyDescent="0.2">
      <c r="A424" s="63" t="s">
        <v>582</v>
      </c>
      <c r="B424" s="64" t="s">
        <v>807</v>
      </c>
      <c r="C424" s="247" t="s">
        <v>808</v>
      </c>
      <c r="D424" s="60">
        <f t="shared" ref="D424:E424" si="104">IF(D422&gt;=D423,D422-D423,0)</f>
        <v>0</v>
      </c>
      <c r="E424" s="60">
        <f t="shared" si="104"/>
        <v>68711.929999999469</v>
      </c>
      <c r="F424" s="45" t="str">
        <f t="shared" si="72"/>
        <v>-</v>
      </c>
    </row>
    <row r="425" spans="1:6" ht="12.75" customHeight="1" x14ac:dyDescent="0.2">
      <c r="A425" s="63" t="s">
        <v>582</v>
      </c>
      <c r="B425" s="64" t="s">
        <v>809</v>
      </c>
      <c r="C425" s="247" t="s">
        <v>810</v>
      </c>
      <c r="D425" s="60">
        <f t="shared" ref="D425:E425" si="105">IF(D423&gt;=D422,D423-D422,0)</f>
        <v>162776.90000000037</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1615.19</v>
      </c>
      <c r="E426" s="60">
        <f t="shared" si="106"/>
        <v>0</v>
      </c>
      <c r="F426" s="45">
        <f t="shared" si="72"/>
        <v>0</v>
      </c>
    </row>
    <row r="427" spans="1:6" ht="12.75" customHeight="1" x14ac:dyDescent="0.2">
      <c r="A427" s="251" t="s">
        <v>811</v>
      </c>
      <c r="B427" s="64" t="s">
        <v>814</v>
      </c>
      <c r="C427" s="252" t="s">
        <v>815</v>
      </c>
      <c r="D427" s="60">
        <f t="shared" ref="D427:E427" si="107">IF(D303-D302+D420-D419&gt;=0,D303-D302+D420-D419,0)</f>
        <v>0</v>
      </c>
      <c r="E427" s="60">
        <f t="shared" si="107"/>
        <v>156482</v>
      </c>
      <c r="F427" s="45" t="str">
        <f t="shared" si="72"/>
        <v>-</v>
      </c>
    </row>
    <row r="428" spans="1:6" ht="24" x14ac:dyDescent="0.2">
      <c r="A428" s="249" t="s">
        <v>816</v>
      </c>
      <c r="B428" s="243" t="s">
        <v>817</v>
      </c>
      <c r="C428" s="250" t="s">
        <v>818</v>
      </c>
      <c r="D428" s="81">
        <f t="shared" ref="D428:E428" si="108">D304+D421</f>
        <v>4193.74</v>
      </c>
      <c r="E428" s="81">
        <f t="shared" si="108"/>
        <v>10990.26</v>
      </c>
      <c r="F428" s="61">
        <f t="shared" si="72"/>
        <v>262.06345648514218</v>
      </c>
    </row>
    <row r="429" spans="1:6" s="55" customFormat="1" ht="20.100000000000001" customHeight="1" x14ac:dyDescent="0.2">
      <c r="A429" s="373" t="s">
        <v>819</v>
      </c>
      <c r="B429" s="374"/>
      <c r="C429" s="171"/>
      <c r="D429" s="43"/>
      <c r="E429" s="43"/>
      <c r="F429" s="44"/>
    </row>
    <row r="430" spans="1:6" ht="12.75" customHeight="1" x14ac:dyDescent="0.2">
      <c r="A430" s="63">
        <v>8</v>
      </c>
      <c r="B430" s="64" t="s">
        <v>820</v>
      </c>
      <c r="C430" s="247" t="s">
        <v>821</v>
      </c>
      <c r="D430" s="60">
        <f>D431+D466+D479+D491+D522</f>
        <v>100000</v>
      </c>
      <c r="E430" s="60">
        <f>E431+E466+E479+E491+E522</f>
        <v>500000</v>
      </c>
      <c r="F430" s="45">
        <f t="shared" ref="F430:F651" si="109">IF(D430&lt;&gt;0,IF(E430/D430&gt;=100,"&gt;&gt;100",E430/D430*100),"-")</f>
        <v>500</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100000</v>
      </c>
      <c r="E491" s="60">
        <f t="shared" si="126"/>
        <v>500000</v>
      </c>
      <c r="F491" s="45">
        <f t="shared" si="109"/>
        <v>500</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100000</v>
      </c>
      <c r="E502" s="60">
        <f t="shared" si="129"/>
        <v>500000</v>
      </c>
      <c r="F502" s="45">
        <f t="shared" si="109"/>
        <v>500</v>
      </c>
    </row>
    <row r="503" spans="1:6" ht="12.75" customHeight="1" x14ac:dyDescent="0.2">
      <c r="A503" s="63">
        <v>8443</v>
      </c>
      <c r="B503" s="64" t="s">
        <v>966</v>
      </c>
      <c r="C503" s="247" t="s">
        <v>967</v>
      </c>
      <c r="D503" s="194">
        <v>100000</v>
      </c>
      <c r="E503" s="194">
        <v>500000</v>
      </c>
      <c r="F503" s="45">
        <f t="shared" si="109"/>
        <v>500</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172370.73</v>
      </c>
      <c r="E535" s="60">
        <f>E536+E571+E584+E597+E629</f>
        <v>166447.72</v>
      </c>
      <c r="F535" s="45">
        <f t="shared" si="109"/>
        <v>96.563795953060009</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172370.73</v>
      </c>
      <c r="E597" s="60">
        <f t="shared" si="152"/>
        <v>166447.72</v>
      </c>
      <c r="F597" s="45">
        <f t="shared" si="109"/>
        <v>96.563795953060009</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171887.13</v>
      </c>
      <c r="E609" s="60">
        <f t="shared" si="156"/>
        <v>166447.72</v>
      </c>
      <c r="F609" s="45">
        <f t="shared" si="109"/>
        <v>96.835475698500517</v>
      </c>
    </row>
    <row r="610" spans="1:6" ht="24" x14ac:dyDescent="0.2">
      <c r="A610" s="63">
        <v>5443</v>
      </c>
      <c r="B610" s="64" t="s">
        <v>1170</v>
      </c>
      <c r="C610" s="247" t="s">
        <v>1171</v>
      </c>
      <c r="D610" s="194">
        <v>171887.13</v>
      </c>
      <c r="E610" s="194">
        <v>166447.72</v>
      </c>
      <c r="F610" s="45">
        <f t="shared" si="109"/>
        <v>96.835475698500517</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483.6</v>
      </c>
      <c r="E621" s="60">
        <f t="shared" si="158"/>
        <v>0</v>
      </c>
      <c r="F621" s="45">
        <f t="shared" si="109"/>
        <v>0</v>
      </c>
    </row>
    <row r="622" spans="1:6" ht="12.75" customHeight="1" x14ac:dyDescent="0.2">
      <c r="A622" s="63">
        <v>5471</v>
      </c>
      <c r="B622" s="64" t="s">
        <v>1194</v>
      </c>
      <c r="C622" s="247" t="s">
        <v>1195</v>
      </c>
      <c r="D622" s="194">
        <v>483.6</v>
      </c>
      <c r="E622" s="194">
        <v>0</v>
      </c>
      <c r="F622" s="45">
        <f t="shared" si="109"/>
        <v>0</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333552.28000000003</v>
      </c>
      <c r="F639" s="45" t="str">
        <f t="shared" si="109"/>
        <v>-</v>
      </c>
    </row>
    <row r="640" spans="1:6" ht="12.75" customHeight="1" x14ac:dyDescent="0.2">
      <c r="A640" s="63" t="s">
        <v>582</v>
      </c>
      <c r="B640" s="64" t="s">
        <v>1230</v>
      </c>
      <c r="C640" s="247" t="s">
        <v>1231</v>
      </c>
      <c r="D640" s="60">
        <f>IF(D535-D430&gt;=0,D535-D430,0)</f>
        <v>72370.73000000001</v>
      </c>
      <c r="E640" s="60">
        <f>IF(E535-E430&gt;=0,E535-E430,0)</f>
        <v>0</v>
      </c>
      <c r="F640" s="45">
        <f t="shared" si="109"/>
        <v>0</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99796.06</v>
      </c>
      <c r="E642" s="194">
        <v>172166.79</v>
      </c>
      <c r="F642" s="45">
        <f t="shared" si="109"/>
        <v>172.51862448277018</v>
      </c>
    </row>
    <row r="643" spans="1:6" ht="12.75" customHeight="1" x14ac:dyDescent="0.2">
      <c r="A643" s="63" t="s">
        <v>582</v>
      </c>
      <c r="B643" s="64" t="s">
        <v>1236</v>
      </c>
      <c r="C643" s="247" t="s">
        <v>1237</v>
      </c>
      <c r="D643" s="60">
        <f>D422+D430</f>
        <v>1512286.3999999997</v>
      </c>
      <c r="E643" s="60">
        <f>E422+E430</f>
        <v>2120491.75</v>
      </c>
      <c r="F643" s="45">
        <f t="shared" si="109"/>
        <v>140.21760362322905</v>
      </c>
    </row>
    <row r="644" spans="1:6" ht="12.75" customHeight="1" x14ac:dyDescent="0.2">
      <c r="A644" s="63" t="s">
        <v>582</v>
      </c>
      <c r="B644" s="64" t="s">
        <v>1238</v>
      </c>
      <c r="C644" s="247" t="s">
        <v>1239</v>
      </c>
      <c r="D644" s="60">
        <f>D423+D535</f>
        <v>1747434.03</v>
      </c>
      <c r="E644" s="60">
        <f>E423+E535</f>
        <v>1718227.5400000003</v>
      </c>
      <c r="F644" s="45">
        <f t="shared" si="109"/>
        <v>98.328607003264111</v>
      </c>
    </row>
    <row r="645" spans="1:6" ht="12.75" customHeight="1" x14ac:dyDescent="0.2">
      <c r="A645" s="63" t="s">
        <v>582</v>
      </c>
      <c r="B645" s="64" t="s">
        <v>1240</v>
      </c>
      <c r="C645" s="247" t="s">
        <v>1241</v>
      </c>
      <c r="D645" s="60">
        <f t="shared" ref="D645:E645" si="163">IF(D643&gt;=D644,D643-D644,0)</f>
        <v>0</v>
      </c>
      <c r="E645" s="60">
        <f t="shared" si="163"/>
        <v>402264.20999999973</v>
      </c>
      <c r="F645" s="45" t="str">
        <f t="shared" si="109"/>
        <v>-</v>
      </c>
    </row>
    <row r="646" spans="1:6" ht="12.75" customHeight="1" x14ac:dyDescent="0.2">
      <c r="A646" s="63" t="s">
        <v>582</v>
      </c>
      <c r="B646" s="64" t="s">
        <v>1242</v>
      </c>
      <c r="C646" s="247" t="s">
        <v>1243</v>
      </c>
      <c r="D646" s="60">
        <f t="shared" ref="D646:E646" si="164">IF(D644&gt;=D643,D644-D643,0)</f>
        <v>235147.63000000035</v>
      </c>
      <c r="E646" s="60">
        <f t="shared" si="164"/>
        <v>0</v>
      </c>
      <c r="F646" s="45">
        <f t="shared" si="109"/>
        <v>0</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98180.87</v>
      </c>
      <c r="E648" s="60">
        <f>IF(E427-E426+E642-E641&gt;=0,E427-E426+E642-E641,0)</f>
        <v>328648.79000000004</v>
      </c>
      <c r="F648" s="45">
        <f t="shared" si="109"/>
        <v>334.73811140602038</v>
      </c>
    </row>
    <row r="649" spans="1:6" ht="24" x14ac:dyDescent="0.2">
      <c r="A649" s="63" t="s">
        <v>582</v>
      </c>
      <c r="B649" s="64" t="s">
        <v>1248</v>
      </c>
      <c r="C649" s="247" t="s">
        <v>1249</v>
      </c>
      <c r="D649" s="60">
        <f t="shared" ref="D649:E649" si="165">IF(D645+D647-D646-D648&gt;=0,D645+D647-D646-D648,0)</f>
        <v>0</v>
      </c>
      <c r="E649" s="60">
        <f t="shared" si="165"/>
        <v>73615.419999999693</v>
      </c>
      <c r="F649" s="45" t="str">
        <f t="shared" si="109"/>
        <v>-</v>
      </c>
    </row>
    <row r="650" spans="1:6" ht="24" x14ac:dyDescent="0.2">
      <c r="A650" s="63" t="s">
        <v>582</v>
      </c>
      <c r="B650" s="64" t="s">
        <v>1250</v>
      </c>
      <c r="C650" s="247" t="s">
        <v>1251</v>
      </c>
      <c r="D650" s="60">
        <f t="shared" ref="D650:E650" si="166">IF(D646+D648-D645-D647&gt;=0,D646+D648-D645-D647,0)</f>
        <v>333328.50000000035</v>
      </c>
      <c r="E650" s="60">
        <f t="shared" si="166"/>
        <v>0</v>
      </c>
      <c r="F650" s="45">
        <f t="shared" si="109"/>
        <v>0</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3" t="s">
        <v>1254</v>
      </c>
      <c r="B652" s="374"/>
      <c r="C652" s="171"/>
      <c r="D652" s="43"/>
      <c r="E652" s="43"/>
      <c r="F652" s="44"/>
    </row>
    <row r="653" spans="1:6" ht="12.75" customHeight="1" x14ac:dyDescent="0.2">
      <c r="A653" s="63">
        <v>11</v>
      </c>
      <c r="B653" s="64" t="s">
        <v>1255</v>
      </c>
      <c r="C653" s="247" t="s">
        <v>1256</v>
      </c>
      <c r="D653" s="194">
        <v>59490.12</v>
      </c>
      <c r="E653" s="194">
        <v>25821.65</v>
      </c>
      <c r="F653" s="45">
        <f t="shared" ref="F653:F740" si="167">IF(D653&lt;&gt;0,IF(E653/D653&gt;=100,"&gt;&gt;100",E653/D653*100),"-")</f>
        <v>43.40493850071239</v>
      </c>
    </row>
    <row r="654" spans="1:6" ht="12.75" customHeight="1" x14ac:dyDescent="0.2">
      <c r="A654" s="63" t="s">
        <v>1257</v>
      </c>
      <c r="B654" s="64" t="s">
        <v>1258</v>
      </c>
      <c r="C654" s="247" t="s">
        <v>1257</v>
      </c>
      <c r="D654" s="194">
        <v>1529883.27</v>
      </c>
      <c r="E654" s="194">
        <v>1969173.43</v>
      </c>
      <c r="F654" s="45">
        <f t="shared" si="167"/>
        <v>128.71396587008888</v>
      </c>
    </row>
    <row r="655" spans="1:6" ht="12.75" customHeight="1" x14ac:dyDescent="0.2">
      <c r="A655" s="63" t="s">
        <v>1259</v>
      </c>
      <c r="B655" s="64" t="s">
        <v>1260</v>
      </c>
      <c r="C655" s="247" t="s">
        <v>1259</v>
      </c>
      <c r="D655" s="194">
        <v>1563551.74</v>
      </c>
      <c r="E655" s="194">
        <v>1858718.34</v>
      </c>
      <c r="F655" s="45">
        <f t="shared" si="167"/>
        <v>118.8779553914858</v>
      </c>
    </row>
    <row r="656" spans="1:6" ht="24" x14ac:dyDescent="0.2">
      <c r="A656" s="63">
        <v>11</v>
      </c>
      <c r="B656" s="64" t="s">
        <v>1261</v>
      </c>
      <c r="C656" s="247" t="s">
        <v>1262</v>
      </c>
      <c r="D656" s="60">
        <f t="shared" ref="D656:E656" si="168">+D653+D654-D655</f>
        <v>25821.65000000014</v>
      </c>
      <c r="E656" s="60">
        <f t="shared" si="168"/>
        <v>136276.73999999976</v>
      </c>
      <c r="F656" s="45">
        <f t="shared" si="167"/>
        <v>527.76154893277157</v>
      </c>
    </row>
    <row r="657" spans="1:6" ht="24" x14ac:dyDescent="0.2">
      <c r="A657" s="63" t="s">
        <v>582</v>
      </c>
      <c r="B657" s="64" t="s">
        <v>1263</v>
      </c>
      <c r="C657" s="247" t="s">
        <v>1264</v>
      </c>
      <c r="D657" s="253">
        <v>4</v>
      </c>
      <c r="E657" s="253">
        <v>4</v>
      </c>
      <c r="F657" s="45">
        <f t="shared" si="167"/>
        <v>100</v>
      </c>
    </row>
    <row r="658" spans="1:6" ht="24" x14ac:dyDescent="0.2">
      <c r="A658" s="63" t="s">
        <v>582</v>
      </c>
      <c r="B658" s="64" t="s">
        <v>1265</v>
      </c>
      <c r="C658" s="247" t="s">
        <v>1266</v>
      </c>
      <c r="D658" s="253">
        <v>0</v>
      </c>
      <c r="E658" s="253">
        <v>0</v>
      </c>
      <c r="F658" s="45" t="str">
        <f t="shared" si="167"/>
        <v>-</v>
      </c>
    </row>
    <row r="659" spans="1:6" ht="12.75" customHeight="1" x14ac:dyDescent="0.2">
      <c r="A659" s="63" t="s">
        <v>582</v>
      </c>
      <c r="B659" s="64" t="s">
        <v>1267</v>
      </c>
      <c r="C659" s="247" t="s">
        <v>1268</v>
      </c>
      <c r="D659" s="253">
        <v>4</v>
      </c>
      <c r="E659" s="253">
        <v>5</v>
      </c>
      <c r="F659" s="45">
        <f t="shared" si="167"/>
        <v>125</v>
      </c>
    </row>
    <row r="660" spans="1:6" ht="12.75" customHeight="1" x14ac:dyDescent="0.2">
      <c r="A660" s="63" t="s">
        <v>582</v>
      </c>
      <c r="B660" s="64" t="s">
        <v>1269</v>
      </c>
      <c r="C660" s="247" t="s">
        <v>1270</v>
      </c>
      <c r="D660" s="253">
        <v>0</v>
      </c>
      <c r="E660" s="253">
        <v>0</v>
      </c>
      <c r="F660" s="45" t="str">
        <f t="shared" si="167"/>
        <v>-</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c r="E663" s="192">
        <v>0</v>
      </c>
      <c r="F663" s="71" t="str">
        <f t="shared" si="167"/>
        <v>-</v>
      </c>
    </row>
    <row r="664" spans="1:6" ht="12.75" customHeight="1" x14ac:dyDescent="0.2">
      <c r="A664" s="70" t="s">
        <v>1278</v>
      </c>
      <c r="B664" s="65" t="s">
        <v>1279</v>
      </c>
      <c r="C664" s="277" t="s">
        <v>1278</v>
      </c>
      <c r="D664" s="192"/>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c r="E668" s="192">
        <v>0</v>
      </c>
      <c r="F668" s="71" t="str">
        <f t="shared" si="167"/>
        <v>-</v>
      </c>
    </row>
    <row r="669" spans="1:6" ht="12.75" customHeight="1" x14ac:dyDescent="0.2">
      <c r="A669" s="63">
        <v>63311</v>
      </c>
      <c r="B669" s="64" t="s">
        <v>1288</v>
      </c>
      <c r="C669" s="247" t="s">
        <v>1289</v>
      </c>
      <c r="D669" s="194">
        <v>381001.4</v>
      </c>
      <c r="E669" s="194">
        <v>0</v>
      </c>
      <c r="F669" s="45">
        <f t="shared" si="167"/>
        <v>0</v>
      </c>
    </row>
    <row r="670" spans="1:6" ht="12.75" customHeight="1" x14ac:dyDescent="0.2">
      <c r="A670" s="63">
        <v>63312</v>
      </c>
      <c r="B670" s="64" t="s">
        <v>1290</v>
      </c>
      <c r="C670" s="247" t="s">
        <v>1291</v>
      </c>
      <c r="D670" s="194">
        <v>6359.85</v>
      </c>
      <c r="E670" s="194">
        <v>6510.77</v>
      </c>
      <c r="F670" s="45">
        <f t="shared" si="167"/>
        <v>102.37301194210555</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1505.65</v>
      </c>
      <c r="E672" s="194">
        <v>1644.35</v>
      </c>
      <c r="F672" s="45">
        <f t="shared" si="167"/>
        <v>109.21196825291402</v>
      </c>
    </row>
    <row r="673" spans="1:6" ht="12.75" customHeight="1" x14ac:dyDescent="0.2">
      <c r="A673" s="63">
        <v>63321</v>
      </c>
      <c r="B673" s="64" t="s">
        <v>1296</v>
      </c>
      <c r="C673" s="247" t="s">
        <v>1297</v>
      </c>
      <c r="D673" s="194">
        <v>68261.490000000005</v>
      </c>
      <c r="E673" s="325">
        <v>171400</v>
      </c>
      <c r="F673" s="45">
        <f t="shared" si="167"/>
        <v>251.09325917145958</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47076.06</v>
      </c>
      <c r="E678" s="192">
        <v>28129.69</v>
      </c>
      <c r="F678" s="71">
        <f t="shared" si="167"/>
        <v>59.753704961715151</v>
      </c>
    </row>
    <row r="679" spans="1:6" ht="12" x14ac:dyDescent="0.2">
      <c r="A679" s="70">
        <v>63416</v>
      </c>
      <c r="B679" s="182" t="s">
        <v>1308</v>
      </c>
      <c r="C679" s="278" t="s">
        <v>1309</v>
      </c>
      <c r="D679" s="192">
        <v>0</v>
      </c>
      <c r="E679" s="192">
        <v>18283.990000000002</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13700.78</v>
      </c>
      <c r="E681" s="192">
        <v>0</v>
      </c>
      <c r="F681" s="71">
        <f t="shared" si="167"/>
        <v>0</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c r="E711" s="192">
        <v>0</v>
      </c>
      <c r="F711" s="71" t="str">
        <f t="shared" si="167"/>
        <v>-</v>
      </c>
    </row>
    <row r="712" spans="1:6" ht="12.75" customHeight="1" x14ac:dyDescent="0.2">
      <c r="A712" s="70" t="s">
        <v>1359</v>
      </c>
      <c r="B712" s="65" t="s">
        <v>1360</v>
      </c>
      <c r="C712" s="277" t="s">
        <v>1359</v>
      </c>
      <c r="D712" s="192"/>
      <c r="E712" s="192">
        <v>0</v>
      </c>
      <c r="F712" s="71" t="str">
        <f t="shared" si="167"/>
        <v>-</v>
      </c>
    </row>
    <row r="713" spans="1:6" ht="24" x14ac:dyDescent="0.2">
      <c r="A713" s="70" t="s">
        <v>1361</v>
      </c>
      <c r="B713" s="65" t="s">
        <v>1362</v>
      </c>
      <c r="C713" s="277" t="s">
        <v>1361</v>
      </c>
      <c r="D713" s="192"/>
      <c r="E713" s="192">
        <v>0</v>
      </c>
      <c r="F713" s="71" t="str">
        <f t="shared" si="167"/>
        <v>-</v>
      </c>
    </row>
    <row r="714" spans="1:6" ht="12" x14ac:dyDescent="0.2">
      <c r="A714" s="70" t="s">
        <v>1363</v>
      </c>
      <c r="B714" s="65" t="s">
        <v>1364</v>
      </c>
      <c r="C714" s="277" t="s">
        <v>1363</v>
      </c>
      <c r="D714" s="192"/>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c r="E722" s="192">
        <v>0</v>
      </c>
      <c r="F722" s="71" t="str">
        <f t="shared" si="167"/>
        <v>-</v>
      </c>
    </row>
    <row r="723" spans="1:6" ht="12" x14ac:dyDescent="0.2">
      <c r="A723" s="70" t="s">
        <v>1381</v>
      </c>
      <c r="B723" s="65" t="s">
        <v>1382</v>
      </c>
      <c r="C723" s="277" t="s">
        <v>1381</v>
      </c>
      <c r="D723" s="192"/>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c r="E730" s="192">
        <v>0</v>
      </c>
      <c r="F730" s="71" t="str">
        <f t="shared" si="167"/>
        <v>-</v>
      </c>
    </row>
    <row r="731" spans="1:6" ht="24" x14ac:dyDescent="0.2">
      <c r="A731" s="70">
        <v>66345</v>
      </c>
      <c r="B731" s="65" t="s">
        <v>1393</v>
      </c>
      <c r="C731" s="277">
        <v>66345</v>
      </c>
      <c r="D731" s="192"/>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2073.06</v>
      </c>
      <c r="E734" s="192">
        <v>3635.36</v>
      </c>
      <c r="F734" s="71">
        <f t="shared" si="167"/>
        <v>175.36202521875873</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0</v>
      </c>
      <c r="E738" s="194">
        <v>0</v>
      </c>
      <c r="F738" s="45" t="str">
        <f t="shared" si="167"/>
        <v>-</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25214.66</v>
      </c>
      <c r="E741" s="192">
        <v>11660.19</v>
      </c>
      <c r="F741" s="71">
        <f t="shared" ref="F741:F1006" si="169">IF(D741&lt;&gt;0,IF(E741/D741&gt;=100,"&gt;&gt;100",E741/D741*100),"-")</f>
        <v>46.243693153110137</v>
      </c>
    </row>
    <row r="742" spans="1:6" ht="12.75" customHeight="1" x14ac:dyDescent="0.2">
      <c r="A742" s="70" t="s">
        <v>1414</v>
      </c>
      <c r="B742" s="65" t="s">
        <v>1415</v>
      </c>
      <c r="C742" s="278" t="s">
        <v>1414</v>
      </c>
      <c r="D742" s="192">
        <v>1284.67</v>
      </c>
      <c r="E742" s="192">
        <v>1910.67</v>
      </c>
      <c r="F742" s="71">
        <f t="shared" si="169"/>
        <v>148.72846723283021</v>
      </c>
    </row>
    <row r="743" spans="1:6" ht="12.75" customHeight="1" x14ac:dyDescent="0.2">
      <c r="A743" s="70" t="s">
        <v>1416</v>
      </c>
      <c r="B743" s="65" t="s">
        <v>1417</v>
      </c>
      <c r="C743" s="277" t="s">
        <v>1416</v>
      </c>
      <c r="D743" s="192"/>
      <c r="E743" s="192">
        <v>0</v>
      </c>
      <c r="F743" s="71" t="str">
        <f t="shared" ref="F743:F744" si="170">IF(D743&lt;&gt;0,IF(E743/D743&gt;=100,"&gt;&gt;100",E743/D743*100),"-")</f>
        <v>-</v>
      </c>
    </row>
    <row r="744" spans="1:6" ht="12.75" customHeight="1" x14ac:dyDescent="0.2">
      <c r="A744" s="70" t="s">
        <v>1418</v>
      </c>
      <c r="B744" s="65" t="s">
        <v>1419</v>
      </c>
      <c r="C744" s="277" t="s">
        <v>1418</v>
      </c>
      <c r="D744" s="192"/>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7918.99</v>
      </c>
      <c r="E760" s="194">
        <v>10145.65</v>
      </c>
      <c r="F760" s="45">
        <f t="shared" si="169"/>
        <v>128.11797969185463</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c r="E806" s="192">
        <v>0</v>
      </c>
      <c r="F806" s="71" t="str">
        <f t="shared" ref="F806:F814" si="171">IF(D806&lt;&gt;0,IF(E806/D806&gt;=100,"&gt;&gt;100",E806/D806*100),"-")</f>
        <v>-</v>
      </c>
    </row>
    <row r="807" spans="1:6" ht="24" x14ac:dyDescent="0.2">
      <c r="A807" s="70" t="s">
        <v>1543</v>
      </c>
      <c r="B807" s="182" t="s">
        <v>1544</v>
      </c>
      <c r="C807" s="277" t="s">
        <v>1543</v>
      </c>
      <c r="D807" s="192"/>
      <c r="E807" s="192">
        <v>0</v>
      </c>
      <c r="F807" s="71" t="str">
        <f t="shared" si="171"/>
        <v>-</v>
      </c>
    </row>
    <row r="808" spans="1:6" ht="24" x14ac:dyDescent="0.2">
      <c r="A808" s="70" t="s">
        <v>1545</v>
      </c>
      <c r="B808" s="182" t="s">
        <v>1546</v>
      </c>
      <c r="C808" s="277" t="s">
        <v>1545</v>
      </c>
      <c r="D808" s="192"/>
      <c r="E808" s="192">
        <v>0</v>
      </c>
      <c r="F808" s="71" t="str">
        <f t="shared" si="171"/>
        <v>-</v>
      </c>
    </row>
    <row r="809" spans="1:6" ht="24" x14ac:dyDescent="0.2">
      <c r="A809" s="70" t="s">
        <v>1547</v>
      </c>
      <c r="B809" s="182" t="s">
        <v>1548</v>
      </c>
      <c r="C809" s="277" t="s">
        <v>1547</v>
      </c>
      <c r="D809" s="192"/>
      <c r="E809" s="192">
        <v>0</v>
      </c>
      <c r="F809" s="71" t="str">
        <f t="shared" si="171"/>
        <v>-</v>
      </c>
    </row>
    <row r="810" spans="1:6" ht="24" x14ac:dyDescent="0.2">
      <c r="A810" s="70" t="s">
        <v>1549</v>
      </c>
      <c r="B810" s="182" t="s">
        <v>1550</v>
      </c>
      <c r="C810" s="277" t="s">
        <v>1549</v>
      </c>
      <c r="D810" s="192"/>
      <c r="E810" s="192">
        <v>0</v>
      </c>
      <c r="F810" s="71" t="str">
        <f t="shared" si="171"/>
        <v>-</v>
      </c>
    </row>
    <row r="811" spans="1:6" ht="24" x14ac:dyDescent="0.2">
      <c r="A811" s="70" t="s">
        <v>1551</v>
      </c>
      <c r="B811" s="182" t="s">
        <v>1552</v>
      </c>
      <c r="C811" s="277" t="s">
        <v>1551</v>
      </c>
      <c r="D811" s="192"/>
      <c r="E811" s="192">
        <v>0</v>
      </c>
      <c r="F811" s="71" t="str">
        <f t="shared" si="171"/>
        <v>-</v>
      </c>
    </row>
    <row r="812" spans="1:6" ht="12" x14ac:dyDescent="0.2">
      <c r="A812" s="70" t="s">
        <v>1553</v>
      </c>
      <c r="B812" s="182" t="s">
        <v>1554</v>
      </c>
      <c r="C812" s="277" t="s">
        <v>1553</v>
      </c>
      <c r="D812" s="192"/>
      <c r="E812" s="192">
        <v>0</v>
      </c>
      <c r="F812" s="71" t="str">
        <f t="shared" si="171"/>
        <v>-</v>
      </c>
    </row>
    <row r="813" spans="1:6" ht="12" x14ac:dyDescent="0.2">
      <c r="A813" s="70" t="s">
        <v>1555</v>
      </c>
      <c r="B813" s="182" t="s">
        <v>1556</v>
      </c>
      <c r="C813" s="277" t="s">
        <v>1555</v>
      </c>
      <c r="D813" s="192"/>
      <c r="E813" s="192">
        <v>0</v>
      </c>
      <c r="F813" s="71" t="str">
        <f t="shared" si="171"/>
        <v>-</v>
      </c>
    </row>
    <row r="814" spans="1:6" ht="12" x14ac:dyDescent="0.2">
      <c r="A814" s="70" t="s">
        <v>1557</v>
      </c>
      <c r="B814" s="182" t="s">
        <v>1558</v>
      </c>
      <c r="C814" s="277" t="s">
        <v>1557</v>
      </c>
      <c r="D814" s="192"/>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8074.27</v>
      </c>
      <c r="E843" s="194">
        <v>4393.6400000000003</v>
      </c>
      <c r="F843" s="45">
        <f t="shared" si="169"/>
        <v>54.415321756641774</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3316.76</v>
      </c>
      <c r="E846" s="194">
        <v>1000</v>
      </c>
      <c r="F846" s="45">
        <f t="shared" si="169"/>
        <v>30.149905329297265</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6800</v>
      </c>
      <c r="E848" s="194">
        <v>13600</v>
      </c>
      <c r="F848" s="45">
        <f t="shared" si="169"/>
        <v>200</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5195.05</v>
      </c>
      <c r="E851" s="194">
        <v>9447.15</v>
      </c>
      <c r="F851" s="45">
        <f t="shared" si="169"/>
        <v>181.84906786267697</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107.14</v>
      </c>
      <c r="E853" s="194">
        <v>0</v>
      </c>
      <c r="F853" s="45">
        <f t="shared" si="169"/>
        <v>0</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14362.89</v>
      </c>
      <c r="E855" s="194">
        <v>16592.72</v>
      </c>
      <c r="F855" s="45">
        <f t="shared" si="169"/>
        <v>115.52493961869791</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100000</v>
      </c>
      <c r="E912" s="192">
        <v>500000</v>
      </c>
      <c r="F912" s="71">
        <f t="shared" si="169"/>
        <v>500</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100000</v>
      </c>
      <c r="E980" s="192">
        <v>100000</v>
      </c>
      <c r="F980" s="71">
        <f t="shared" si="169"/>
        <v>100</v>
      </c>
    </row>
    <row r="981" spans="1:6" ht="24" x14ac:dyDescent="0.2">
      <c r="A981" s="70">
        <v>54432</v>
      </c>
      <c r="B981" s="65" t="s">
        <v>1890</v>
      </c>
      <c r="C981" s="278" t="s">
        <v>1891</v>
      </c>
      <c r="D981" s="192">
        <v>71887.13</v>
      </c>
      <c r="E981" s="192">
        <v>66447.72</v>
      </c>
      <c r="F981" s="71">
        <f t="shared" si="169"/>
        <v>92.43340219591461</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483.6</v>
      </c>
      <c r="E995" s="192">
        <v>0</v>
      </c>
      <c r="F995" s="71">
        <f t="shared" si="169"/>
        <v>0</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9" t="s">
        <v>1948</v>
      </c>
      <c r="B1010" s="370"/>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7"/>
      <c r="E1021" s="368"/>
      <c r="F1021" s="51"/>
    </row>
    <row r="1022" spans="1:6" ht="15" customHeight="1" x14ac:dyDescent="0.2">
      <c r="A1022" s="140"/>
      <c r="B1022" s="163"/>
      <c r="C1022" s="173"/>
      <c r="D1022" s="367"/>
      <c r="E1022" s="368"/>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73" zoomScaleNormal="100" workbookViewId="0">
      <selection activeCell="F162" sqref="F162"/>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5" t="s">
        <v>1980</v>
      </c>
      <c r="B2" s="376"/>
      <c r="C2" s="376"/>
      <c r="D2" s="376"/>
      <c r="E2" s="376"/>
      <c r="F2" s="376"/>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8" t="s">
        <v>2131</v>
      </c>
      <c r="B5" s="379"/>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7145886.1000000015</v>
      </c>
      <c r="E6" s="180">
        <f t="shared" si="0"/>
        <v>7322091.1100000022</v>
      </c>
      <c r="F6" s="181">
        <f t="shared" ref="F6:F298" si="1">IF(D6&gt;0,IF(E6/D6&gt;=100,"&gt;&gt;100",E6/D6*100),"-")</f>
        <v>102.46582449725865</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6603039.290000001</v>
      </c>
      <c r="E7" s="79">
        <f t="shared" si="2"/>
        <v>6696235.2400000021</v>
      </c>
      <c r="F7" s="71">
        <f t="shared" si="1"/>
        <v>101.41140989636608</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336061.5</v>
      </c>
      <c r="E8" s="79">
        <f>E9+E10-E11</f>
        <v>333870.24</v>
      </c>
      <c r="F8" s="71">
        <f t="shared" si="1"/>
        <v>99.347958632571704</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336061.5</v>
      </c>
      <c r="E9" s="192">
        <v>333870.24</v>
      </c>
      <c r="F9" s="71">
        <f t="shared" si="1"/>
        <v>99.347958632571704</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5984504.0500000007</v>
      </c>
      <c r="E12" s="79">
        <f t="shared" si="3"/>
        <v>6133776.5600000015</v>
      </c>
      <c r="F12" s="71">
        <f t="shared" si="1"/>
        <v>102.49431713560291</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5904845.3600000003</v>
      </c>
      <c r="E13" s="79">
        <f t="shared" si="4"/>
        <v>6073548.580000001</v>
      </c>
      <c r="F13" s="71">
        <f t="shared" si="1"/>
        <v>102.85703028131461</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14723.1</v>
      </c>
      <c r="E14" s="192">
        <v>14723.1</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3749946.17</v>
      </c>
      <c r="E15" s="192">
        <v>3886663.7</v>
      </c>
      <c r="F15" s="71">
        <f t="shared" si="1"/>
        <v>103.64585313500648</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3237192.36</v>
      </c>
      <c r="E16" s="192">
        <v>3364690.25</v>
      </c>
      <c r="F16" s="71">
        <f t="shared" si="1"/>
        <v>103.93853301939711</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1068417.53</v>
      </c>
      <c r="E17" s="192">
        <v>1150165.6599999999</v>
      </c>
      <c r="F17" s="71">
        <f t="shared" si="1"/>
        <v>107.65132803464952</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2165433.7999999998</v>
      </c>
      <c r="E18" s="192">
        <v>2342694.13</v>
      </c>
      <c r="F18" s="71">
        <f t="shared" si="1"/>
        <v>108.18590390525908</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78169.819999999978</v>
      </c>
      <c r="E19" s="79">
        <f t="shared" si="5"/>
        <v>59772.400000000023</v>
      </c>
      <c r="F19" s="71">
        <f t="shared" si="1"/>
        <v>76.464804447547706</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113544.09</v>
      </c>
      <c r="E20" s="192">
        <v>113544.09</v>
      </c>
      <c r="F20" s="71">
        <f t="shared" si="1"/>
        <v>100</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899.59</v>
      </c>
      <c r="E21" s="192">
        <v>899.59</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8208.11</v>
      </c>
      <c r="E22" s="192">
        <v>9158.01</v>
      </c>
      <c r="F22" s="71">
        <f t="shared" si="1"/>
        <v>111.57270065825141</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1073.46</v>
      </c>
      <c r="E25" s="192">
        <v>1073.46</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88426.49</v>
      </c>
      <c r="E26" s="192">
        <v>88426.49</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133981.92000000001</v>
      </c>
      <c r="E28" s="192">
        <v>153329.24</v>
      </c>
      <c r="F28" s="71">
        <f t="shared" si="1"/>
        <v>114.44024686315883</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1488.8700000000026</v>
      </c>
      <c r="E45" s="79">
        <f t="shared" si="9"/>
        <v>455.58000000000175</v>
      </c>
      <c r="F45" s="71">
        <f t="shared" si="1"/>
        <v>30.599044913256424</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7671.76</v>
      </c>
      <c r="E47" s="192">
        <v>7671.76</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50161.42</v>
      </c>
      <c r="E49" s="192">
        <v>50161.42</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56344.31</v>
      </c>
      <c r="E50" s="192">
        <v>57377.599999999999</v>
      </c>
      <c r="F50" s="71">
        <f t="shared" si="1"/>
        <v>101.833885267208</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17927.740000000002</v>
      </c>
      <c r="E54" s="192">
        <v>19971.36</v>
      </c>
      <c r="F54" s="71">
        <f t="shared" si="1"/>
        <v>111.39920592333445</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17927.740000000002</v>
      </c>
      <c r="E55" s="192">
        <v>19971.36</v>
      </c>
      <c r="F55" s="71">
        <f t="shared" si="1"/>
        <v>111.39920592333445</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282473.74</v>
      </c>
      <c r="E56" s="79">
        <f t="shared" si="11"/>
        <v>228588.44</v>
      </c>
      <c r="F56" s="71">
        <f t="shared" si="1"/>
        <v>80.923784278142108</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80516</v>
      </c>
      <c r="E57" s="192">
        <v>26630.7</v>
      </c>
      <c r="F57" s="71">
        <f t="shared" si="1"/>
        <v>33.075040985642609</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183220.24</v>
      </c>
      <c r="E58" s="192">
        <v>183220.24</v>
      </c>
      <c r="F58" s="71">
        <f t="shared" si="1"/>
        <v>100</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18737.5</v>
      </c>
      <c r="E61" s="192">
        <v>18737.5</v>
      </c>
      <c r="F61" s="71">
        <f t="shared" si="1"/>
        <v>100</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542846.81000000006</v>
      </c>
      <c r="E69" s="79">
        <f>E70+E82+E88+E119+E135+E147+E165+E171</f>
        <v>625855.87</v>
      </c>
      <c r="F69" s="71">
        <f t="shared" si="1"/>
        <v>115.29143369194708</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25821.649999999998</v>
      </c>
      <c r="E70" s="79">
        <f t="shared" si="12"/>
        <v>136276.74</v>
      </c>
      <c r="F70" s="71">
        <f t="shared" si="1"/>
        <v>527.76154893277544</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25781.19</v>
      </c>
      <c r="E71" s="79">
        <f t="shared" si="13"/>
        <v>136180.22</v>
      </c>
      <c r="F71" s="71">
        <f t="shared" si="1"/>
        <v>528.21541596799841</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25781.19</v>
      </c>
      <c r="E73" s="192">
        <v>136180.22</v>
      </c>
      <c r="F73" s="71">
        <f t="shared" si="1"/>
        <v>528.21541596799841</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40.46</v>
      </c>
      <c r="E80" s="192">
        <v>96.52</v>
      </c>
      <c r="F80" s="71">
        <f t="shared" si="1"/>
        <v>238.5565991102323</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38330.94</v>
      </c>
      <c r="E82" s="79">
        <f>SUM(E83:E85)-E86+E87</f>
        <v>0</v>
      </c>
      <c r="F82" s="71">
        <f t="shared" si="1"/>
        <v>0</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38330.94</v>
      </c>
      <c r="E87" s="192">
        <v>0</v>
      </c>
      <c r="F87" s="71">
        <f t="shared" si="1"/>
        <v>0</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473108.9</v>
      </c>
      <c r="E135" s="79">
        <f t="shared" si="21"/>
        <v>473108.9</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473108.9</v>
      </c>
      <c r="E136" s="79">
        <f t="shared" si="22"/>
        <v>473108.9</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473108.9</v>
      </c>
      <c r="E140" s="192">
        <v>473108.9</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4577.2800000000007</v>
      </c>
      <c r="E147" s="79">
        <f t="shared" si="24"/>
        <v>15581.220000000001</v>
      </c>
      <c r="F147" s="71">
        <f t="shared" si="1"/>
        <v>340.40347105704694</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476.93</v>
      </c>
      <c r="E148" s="192">
        <v>6280.59</v>
      </c>
      <c r="F148" s="71">
        <f t="shared" si="1"/>
        <v>1316.8787872434111</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4204.9799999999996</v>
      </c>
      <c r="E159" s="192">
        <v>4196.32</v>
      </c>
      <c r="F159" s="71">
        <f t="shared" si="1"/>
        <v>99.794053717259061</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6401.6</v>
      </c>
      <c r="E160" s="192">
        <v>7456.67</v>
      </c>
      <c r="F160" s="71">
        <f t="shared" si="1"/>
        <v>116.48134841289676</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6506.23</v>
      </c>
      <c r="E164" s="192">
        <v>2352.36</v>
      </c>
      <c r="F164" s="71">
        <f t="shared" si="1"/>
        <v>36.155500189818071</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1008.04</v>
      </c>
      <c r="E165" s="79">
        <f t="shared" si="26"/>
        <v>889.01</v>
      </c>
      <c r="F165" s="71">
        <f t="shared" si="1"/>
        <v>88.19193682790366</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1008.04</v>
      </c>
      <c r="E167" s="192">
        <v>889.01</v>
      </c>
      <c r="F167" s="71">
        <f t="shared" si="1"/>
        <v>88.19193682790366</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3" t="s">
        <v>2432</v>
      </c>
      <c r="B175" s="374"/>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7145886.1000000006</v>
      </c>
      <c r="E176" s="79">
        <f>E177+E251</f>
        <v>7322091.1100000003</v>
      </c>
      <c r="F176" s="71">
        <f t="shared" si="1"/>
        <v>102.46582449725862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921030.9</v>
      </c>
      <c r="E177" s="79">
        <f>E178+E197+E203+E219+E247+E248</f>
        <v>954312.7</v>
      </c>
      <c r="F177" s="71">
        <f t="shared" si="1"/>
        <v>103.61353783027256</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297227.13</v>
      </c>
      <c r="E178" s="79">
        <f>SUM(E179:E181)+E185+E186+SUM(E194:E196)</f>
        <v>51084.59</v>
      </c>
      <c r="F178" s="71">
        <f t="shared" si="1"/>
        <v>17.187054896368309</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9730.75</v>
      </c>
      <c r="E179" s="192">
        <v>13826.75</v>
      </c>
      <c r="F179" s="71">
        <f t="shared" si="1"/>
        <v>142.09336382087713</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130031.27</v>
      </c>
      <c r="E180" s="192">
        <v>20989.599999999999</v>
      </c>
      <c r="F180" s="71">
        <f t="shared" si="1"/>
        <v>16.141963390805916</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120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v>0</v>
      </c>
      <c r="E190" s="192">
        <v>120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3175.39</v>
      </c>
      <c r="E194" s="192">
        <v>919.4</v>
      </c>
      <c r="F194" s="71">
        <f t="shared" si="1"/>
        <v>28.953923769993605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14375.05</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154289.72</v>
      </c>
      <c r="E196" s="192">
        <v>853.79</v>
      </c>
      <c r="F196" s="71">
        <f t="shared" si="1"/>
        <v>0.55336804033347131</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101645.56</v>
      </c>
      <c r="E197" s="79">
        <f>SUM(E198:E202)</f>
        <v>17105</v>
      </c>
      <c r="F197" s="71">
        <f t="shared" si="1"/>
        <v>16.828083784476174</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88893.68</v>
      </c>
      <c r="E199" s="192">
        <v>0</v>
      </c>
      <c r="F199" s="71">
        <f t="shared" ref="F199:F202" si="30">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v>12751.88</v>
      </c>
      <c r="E202" s="192">
        <v>17105</v>
      </c>
      <c r="F202" s="71">
        <f t="shared" si="30"/>
        <v>134.13708410054048</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522158.21</v>
      </c>
      <c r="E219" s="79">
        <f t="shared" si="34"/>
        <v>881498.87</v>
      </c>
      <c r="F219" s="71">
        <f t="shared" si="1"/>
        <v>168.81834913598311</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522158.21</v>
      </c>
      <c r="E220" s="79">
        <f t="shared" si="35"/>
        <v>881498.87</v>
      </c>
      <c r="F220" s="71">
        <f t="shared" si="1"/>
        <v>168.81834913598311</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522158.21</v>
      </c>
      <c r="E225" s="192">
        <v>881498.87</v>
      </c>
      <c r="F225" s="71">
        <f t="shared" si="1"/>
        <v>168.81834913598311</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v>0</v>
      </c>
      <c r="E247" s="192">
        <v>4624.24</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6224855.2000000002</v>
      </c>
      <c r="E251" s="79">
        <f>+E252+E255-E264+E274+E291</f>
        <v>6367778.4100000001</v>
      </c>
      <c r="F251" s="71">
        <f t="shared" si="1"/>
        <v>102.2960085882801</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6553989.96</v>
      </c>
      <c r="E252" s="79">
        <f>E253-E254</f>
        <v>6283172.7300000004</v>
      </c>
      <c r="F252" s="71">
        <f t="shared" si="1"/>
        <v>95.867902885832322</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7076148.1699999999</v>
      </c>
      <c r="E253" s="192">
        <v>7164664.4100000001</v>
      </c>
      <c r="F253" s="71">
        <f t="shared" si="1"/>
        <v>101.25090992830354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522158.21</v>
      </c>
      <c r="E254" s="192">
        <v>881491.68</v>
      </c>
      <c r="F254" s="71">
        <f t="shared" si="1"/>
        <v>168.81697215868732</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-333328.5</v>
      </c>
      <c r="E255" s="79">
        <f>E256-E260</f>
        <v>73615.419999999984</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120895.15</v>
      </c>
      <c r="E256" s="79">
        <f>SUM(E257:E259)</f>
        <v>264191.31</v>
      </c>
      <c r="F256" s="71">
        <f t="shared" si="1"/>
        <v>218.529287568608</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120895.15</v>
      </c>
      <c r="E257" s="192">
        <v>102805.82</v>
      </c>
      <c r="F257" s="71">
        <f t="shared" si="1"/>
        <v>85.037174775001318</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161385.49</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454223.65</v>
      </c>
      <c r="E260" s="79">
        <f>SUM(E261:E263)</f>
        <v>190575.89</v>
      </c>
      <c r="F260" s="71">
        <f t="shared" si="1"/>
        <v>41.956399672275985</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282056.86</v>
      </c>
      <c r="E262" s="192">
        <v>190575.89</v>
      </c>
      <c r="F262" s="71">
        <f t="shared" si="1"/>
        <v>67.566479326189764</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172166.79</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3740.0699999999997</v>
      </c>
      <c r="E274" s="79">
        <f>SUM(E275:E277)+SUM(E286:E290)</f>
        <v>10590.14</v>
      </c>
      <c r="F274" s="71">
        <f t="shared" si="1"/>
        <v>283.15352386452662</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53.39</v>
      </c>
      <c r="E275" s="192">
        <v>5857.05</v>
      </c>
      <c r="F275" s="71" t="str">
        <f t="shared" ref="F275:F290" si="39">IF(D275&gt;0,IF(E275/D275&gt;=100,"&gt;&gt;100",E275/D275*100),"-")</f>
        <v>&gt;&gt;100</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v>3686.68</v>
      </c>
      <c r="E286" s="192">
        <v>3725.61</v>
      </c>
      <c r="F286" s="71">
        <f t="shared" si="39"/>
        <v>101.05596363123462</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v>0</v>
      </c>
      <c r="E287" s="192">
        <v>1007.48</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453.67</v>
      </c>
      <c r="E291" s="79">
        <f>SUM(E292:E295)</f>
        <v>400.12</v>
      </c>
      <c r="F291" s="71">
        <f t="shared" si="1"/>
        <v>88.196266008332046</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v>453.67</v>
      </c>
      <c r="E293" s="192">
        <v>400.12</v>
      </c>
      <c r="F293" s="71">
        <f t="shared" ref="F293:F295" si="40">IF(D293&gt;0,IF(E293/D293&gt;=100,"&gt;&gt;100",E293/D293*100),"-")</f>
        <v>88.196266008332046</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1189050.28</v>
      </c>
      <c r="E297" s="79">
        <f t="shared" si="42"/>
        <v>1369050.28</v>
      </c>
      <c r="F297" s="71">
        <f t="shared" si="1"/>
        <v>115.13813192155339</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1189050.28</v>
      </c>
      <c r="E298" s="193">
        <v>1369050.28</v>
      </c>
      <c r="F298" s="75">
        <f t="shared" si="1"/>
        <v>115.13813192155339</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7" t="s">
        <v>1254</v>
      </c>
      <c r="B299" s="374"/>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11083.51</v>
      </c>
      <c r="E302" s="192">
        <v>11816.74</v>
      </c>
      <c r="F302" s="71">
        <f t="shared" si="43"/>
        <v>106.61550357242426</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v>6116.84</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1008.04</v>
      </c>
      <c r="E305" s="192">
        <v>889.01</v>
      </c>
      <c r="F305" s="71">
        <f t="shared" si="43"/>
        <v>88.19193682790366</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v>0</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38330.94</v>
      </c>
      <c r="E309" s="192">
        <v>0</v>
      </c>
      <c r="F309" s="71">
        <f t="shared" si="43"/>
        <v>0</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91104.39</v>
      </c>
      <c r="E336" s="192">
        <v>16907.14</v>
      </c>
      <c r="F336" s="71">
        <f t="shared" si="43"/>
        <v>18.557986064118314</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206122.74</v>
      </c>
      <c r="E337" s="192">
        <v>34177.449999999997</v>
      </c>
      <c r="F337" s="71">
        <f t="shared" si="43"/>
        <v>16.58111569834556</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98739.31</v>
      </c>
      <c r="E338" s="192">
        <v>17105</v>
      </c>
      <c r="F338" s="71">
        <f t="shared" si="43"/>
        <v>17.32339429959557</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2906.25</v>
      </c>
      <c r="E339" s="192">
        <v>0</v>
      </c>
      <c r="F339" s="71">
        <f t="shared" si="43"/>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522158.21</v>
      </c>
      <c r="E343" s="192">
        <v>881498.87</v>
      </c>
      <c r="F343" s="71">
        <f t="shared" si="43"/>
        <v>168.81834913598311</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151057.18</v>
      </c>
      <c r="E344" s="192">
        <v>853.79</v>
      </c>
      <c r="F344" s="71">
        <f t="shared" si="43"/>
        <v>0.56520980995408487</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v>0</v>
      </c>
      <c r="E368" s="192">
        <v>4624.24</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v>1189050.28</v>
      </c>
      <c r="E397" s="284">
        <v>1369050.28</v>
      </c>
      <c r="F397" s="289">
        <f t="shared" si="44"/>
        <v>115.13813192155339</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abSelected="1" workbookViewId="0">
      <selection activeCell="E139" sqref="E139"/>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80" t="s">
        <v>2833</v>
      </c>
      <c r="B2" s="381"/>
      <c r="C2" s="381"/>
      <c r="D2" s="381"/>
      <c r="E2" s="381"/>
      <c r="F2" s="381"/>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320449.65000000002</v>
      </c>
      <c r="E5" s="58">
        <f t="shared" si="0"/>
        <v>397929.72</v>
      </c>
      <c r="F5" s="59">
        <f t="shared" ref="F5:F141" si="1">IF(D5&gt;0,IF(E5/D5&gt;=100,"&gt;&gt;100",E5/D5*100),"-")</f>
        <v>124.17854723823226</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320449.65000000002</v>
      </c>
      <c r="E6" s="60">
        <f t="shared" si="2"/>
        <v>397929.72</v>
      </c>
      <c r="F6" s="45">
        <f t="shared" si="1"/>
        <v>124.17854723823226</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320449.65000000002</v>
      </c>
      <c r="E7" s="194">
        <v>397929.72</v>
      </c>
      <c r="F7" s="45">
        <f t="shared" si="1"/>
        <v>124.17854723823226</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 si="4">SUM(D14:D16)</f>
        <v>0</v>
      </c>
      <c r="E13" s="60">
        <f>SUM(E15:E16)</f>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326">
        <v>0</v>
      </c>
      <c r="F14" s="45" t="str">
        <f>IF(D14&gt;0,IF(E15/D14&gt;=100,"&gt;&gt;100",E15/D14*100),"-")</f>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v>0</v>
      </c>
      <c r="F15" s="45" t="str">
        <f>IF(D15&gt;0,IF(#REF!/D15&gt;=100,"&gt;&gt;100",#REF!/D15*100),"-")</f>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61311.33</v>
      </c>
      <c r="E28" s="60">
        <f t="shared" si="6"/>
        <v>79828.960000000006</v>
      </c>
      <c r="F28" s="45">
        <f t="shared" si="1"/>
        <v>130.20262323456367</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59926.33</v>
      </c>
      <c r="E30" s="194">
        <v>78377.600000000006</v>
      </c>
      <c r="F30" s="45">
        <f t="shared" si="1"/>
        <v>130.78992155868713</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1385</v>
      </c>
      <c r="E34" s="194">
        <v>1451.36</v>
      </c>
      <c r="F34" s="45">
        <f t="shared" si="1"/>
        <v>104.7913357400722</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252468.97</v>
      </c>
      <c r="E35" s="60">
        <f t="shared" si="7"/>
        <v>166499.40000000002</v>
      </c>
      <c r="F35" s="45">
        <f t="shared" si="1"/>
        <v>65.948460913830331</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1000</v>
      </c>
      <c r="E36" s="60">
        <f t="shared" si="8"/>
        <v>1000</v>
      </c>
      <c r="F36" s="45">
        <f t="shared" si="1"/>
        <v>100</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1000</v>
      </c>
      <c r="E38" s="194">
        <v>1000</v>
      </c>
      <c r="F38" s="45">
        <f t="shared" si="1"/>
        <v>100</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75602.44</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v>75602.44</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251468.97</v>
      </c>
      <c r="E54" s="60">
        <f t="shared" si="12"/>
        <v>89896.960000000006</v>
      </c>
      <c r="F54" s="45">
        <f t="shared" si="1"/>
        <v>35.74872875965572</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251468.97</v>
      </c>
      <c r="E55" s="194">
        <v>89896.960000000006</v>
      </c>
      <c r="F55" s="45">
        <f t="shared" si="1"/>
        <v>35.74872875965572</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8173.5999999999995</v>
      </c>
      <c r="E75" s="60">
        <f t="shared" si="15"/>
        <v>7722.79</v>
      </c>
      <c r="F75" s="45">
        <f t="shared" si="1"/>
        <v>94.484560046980519</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1750.11</v>
      </c>
      <c r="E76" s="194">
        <v>2641.76</v>
      </c>
      <c r="F76" s="45">
        <f t="shared" si="1"/>
        <v>150.94822611150158</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6423.49</v>
      </c>
      <c r="E78" s="194">
        <v>5081.03</v>
      </c>
      <c r="F78" s="45">
        <f t="shared" si="1"/>
        <v>79.100769208016203</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512498.02</v>
      </c>
      <c r="E82" s="60">
        <f t="shared" si="16"/>
        <v>380616.30000000005</v>
      </c>
      <c r="F82" s="45">
        <f t="shared" si="1"/>
        <v>74.266882045710162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13255</v>
      </c>
      <c r="E83" s="194">
        <v>0</v>
      </c>
      <c r="F83" s="45">
        <f t="shared" si="1"/>
        <v>0</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424472.43</v>
      </c>
      <c r="E84" s="194">
        <v>297939.59000000003</v>
      </c>
      <c r="F84" s="45">
        <f t="shared" si="1"/>
        <v>70.190563377696876</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74770.59</v>
      </c>
      <c r="E86" s="194">
        <v>82676.710000000006</v>
      </c>
      <c r="F86" s="45">
        <f t="shared" si="1"/>
        <v>110.57383658467856</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27034.260000000002</v>
      </c>
      <c r="E107" s="60">
        <f t="shared" si="21"/>
        <v>28064.260000000002</v>
      </c>
      <c r="F107" s="45">
        <f t="shared" si="1"/>
        <v>103.80998037305255</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21000</v>
      </c>
      <c r="E108" s="194">
        <v>21800</v>
      </c>
      <c r="F108" s="45">
        <f t="shared" si="1"/>
        <v>103.80952380952382</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6034.26</v>
      </c>
      <c r="E113" s="194">
        <v>6264.26</v>
      </c>
      <c r="F113" s="45">
        <f t="shared" si="1"/>
        <v>103.81156927278572</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74329.539999999994</v>
      </c>
      <c r="E114" s="60">
        <f t="shared" si="22"/>
        <v>79851.48000000001</v>
      </c>
      <c r="F114" s="45">
        <f t="shared" si="1"/>
        <v>107.42899794617324</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74329.539999999994</v>
      </c>
      <c r="E115" s="60">
        <f t="shared" si="23"/>
        <v>79851.48000000001</v>
      </c>
      <c r="F115" s="45">
        <f t="shared" si="1"/>
        <v>107.42899794617324</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72620.62</v>
      </c>
      <c r="E116" s="194">
        <v>78741.990000000005</v>
      </c>
      <c r="F116" s="45">
        <f t="shared" si="1"/>
        <v>108.42924502710115</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1708.92</v>
      </c>
      <c r="E117" s="194">
        <v>1109.49</v>
      </c>
      <c r="F117" s="45">
        <f t="shared" si="1"/>
        <v>64.923460431149493</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42755.59</v>
      </c>
      <c r="E129" s="60">
        <f t="shared" si="26"/>
        <v>58145.850000000006</v>
      </c>
      <c r="F129" s="45">
        <f t="shared" si="1"/>
        <v>135.99590135465328</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3400</v>
      </c>
      <c r="E135" s="194">
        <v>7820</v>
      </c>
      <c r="F135" s="45">
        <f t="shared" si="1"/>
        <v>229.99999999999997</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33955.589999999997</v>
      </c>
      <c r="E138" s="194">
        <v>45033.51</v>
      </c>
      <c r="F138" s="45">
        <f t="shared" si="1"/>
        <v>132.62473130344668</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5400</v>
      </c>
      <c r="E140" s="194">
        <v>5292.34</v>
      </c>
      <c r="F140" s="45">
        <f t="shared" si="1"/>
        <v>98.006296296296298</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1299020.9600000002</v>
      </c>
      <c r="E141" s="81">
        <f t="shared" si="28"/>
        <v>1198658.7600000002</v>
      </c>
      <c r="F141" s="61">
        <f t="shared" si="1"/>
        <v>92.274012268439463</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2"/>
      <c r="E143" s="383"/>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3 D14 D1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6" sqref="E1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3085</v>
      </c>
      <c r="B2" s="385"/>
      <c r="C2" s="385"/>
      <c r="D2" s="385"/>
      <c r="E2" s="385"/>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SUM(D8:D13)</f>
        <v>0</v>
      </c>
      <c r="E7" s="83">
        <f t="shared" ref="E7" si="2">SUM(E8:E13)</f>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327">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6"/>
      <c r="E51" s="385"/>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8 E9 D10: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02" sqref="D10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7" t="s">
        <v>3155</v>
      </c>
      <c r="B2" s="385"/>
      <c r="C2" s="385"/>
      <c r="D2" s="385"/>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921030.9</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1619434.51</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844158.28000000014</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174985.7</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396194.18</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12041.62</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32533.040000000001</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39683.51</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105619.32</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83100.91</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242548.34</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525781.18999999994</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525781.18999999994</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6946.7</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1586152.7100000002</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1090300.82</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170889.7</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505235.85</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12041.62</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32413.040000000001</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41939.5</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241012.33</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86768.78</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327088.90000000002</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166440.53</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166440.53</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2322.46</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954312.7</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34012.14</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16907.14</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16100.57</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16100.57</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806.57</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v>151.58000000000001</v>
      </c>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v>654.99</v>
      </c>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17105</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17105</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920300.55999999994</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34177.449999999997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881498.87</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4624.24</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6"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7" t="s">
        <v>3155</v>
      </c>
      <c r="B1" s="385"/>
      <c r="C1" s="385"/>
      <c r="D1" s="385"/>
      <c r="E1" s="51" t="s">
        <v>3302</v>
      </c>
      <c r="F1" s="51"/>
      <c r="G1" s="51"/>
      <c r="H1" s="51"/>
      <c r="I1" s="51"/>
      <c r="J1" s="51"/>
      <c r="K1" s="51"/>
      <c r="L1" s="51"/>
      <c r="M1" s="51"/>
      <c r="N1" s="51"/>
      <c r="O1" s="51"/>
      <c r="P1" s="51"/>
    </row>
    <row r="2" spans="1:17" ht="37.5" customHeight="1" x14ac:dyDescent="0.2">
      <c r="A2" s="387" t="s">
        <v>3303</v>
      </c>
      <c r="B2" s="385"/>
      <c r="C2" s="385"/>
      <c r="D2" s="385"/>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t="e">
        <f>E4+E14+E23+E298+E342+E345+E347</f>
        <v>#REF!</v>
      </c>
      <c r="F3" s="96">
        <f>F4+F14+F23+F298+F342+F345+F347</f>
        <v>14</v>
      </c>
      <c r="G3" s="96">
        <f>IF(RefStr!C13&lt;&gt;"",INT(VALUE(MID(RefStr!C13,1,4))),0)</f>
        <v>2025</v>
      </c>
      <c r="H3" s="100">
        <f>IF(RefStr!C13&lt;&gt;"",INT(VALUE(MID(RefStr!C13,6,2))),0)</f>
        <v>12</v>
      </c>
      <c r="I3" s="101">
        <f>RefStr!C10*1</f>
        <v>22</v>
      </c>
      <c r="J3" s="102" t="str">
        <f>RefStr!H7</f>
        <v>DA</v>
      </c>
      <c r="K3" s="100" t="e">
        <f>RefStr!H9</f>
        <v>#REF!</v>
      </c>
      <c r="L3" s="100" t="str">
        <f>RefStr!H10</f>
        <v>DA</v>
      </c>
      <c r="M3" s="100" t="str">
        <f>RefStr!H8</f>
        <v>DA</v>
      </c>
      <c r="N3" s="100" t="str">
        <f>RefStr!H11</f>
        <v>DA</v>
      </c>
      <c r="O3" s="103">
        <f>RefStr!C6</f>
        <v>28356</v>
      </c>
      <c r="P3" s="51"/>
    </row>
    <row r="4" spans="1:17" ht="19.5" customHeight="1" x14ac:dyDescent="0.2">
      <c r="A4" s="391" t="s">
        <v>3314</v>
      </c>
      <c r="B4" s="392"/>
      <c r="C4" s="393"/>
      <c r="D4" s="95"/>
      <c r="E4" s="51" t="e">
        <f>SUM(E5:E13)</f>
        <v>#REF!</v>
      </c>
      <c r="F4" s="51">
        <f>SUM(F5:F13)</f>
        <v>0</v>
      </c>
      <c r="G4" s="51"/>
      <c r="H4" s="51"/>
      <c r="I4" s="104" t="s">
        <v>3315</v>
      </c>
      <c r="J4" s="104" t="s">
        <v>3316</v>
      </c>
      <c r="K4" s="104" t="s">
        <v>3317</v>
      </c>
      <c r="L4" s="51"/>
      <c r="M4" s="51"/>
      <c r="N4" s="51"/>
      <c r="O4" s="51"/>
      <c r="P4" s="51"/>
    </row>
    <row r="5" spans="1:17" ht="63.75" customHeight="1" x14ac:dyDescent="0.2">
      <c r="A5" s="105">
        <v>1</v>
      </c>
      <c r="B5" s="106" t="e">
        <f t="shared" ref="B5:B13" si="0">IF(E5=1,"Pogreška",IF(F5=1,"Provjera","O.K."))</f>
        <v>#REF!</v>
      </c>
      <c r="C5" s="246" t="s">
        <v>3318</v>
      </c>
      <c r="D5" s="95"/>
      <c r="E5" s="51" t="e">
        <f t="shared" ref="E5:E13" si="1">MAX(G5:K5)</f>
        <v>#REF!</v>
      </c>
      <c r="F5" s="51">
        <v>0</v>
      </c>
      <c r="G5" s="51"/>
      <c r="H5" s="51"/>
      <c r="I5" s="107" t="e">
        <f>IF(AND($I$3=11,OR($H$3=3,$H$3=9),OR($J$3&lt;&gt;"DA",$K$3&lt;&gt;"NE",$L$3&lt;&gt;"NE",$M$3&lt;&gt;"NE",$N$3&lt;&gt;"DA")),1,0)</f>
        <v>#REF!</v>
      </c>
      <c r="J5" s="107" t="e">
        <f>IF(AND($I$3=11,$H$3=6,OR($J$3&lt;&gt;"DA",$K$3&lt;&gt;"NE",$L$3&lt;&gt;"NE",$M$3&lt;&gt;"NE",$N$3&lt;&gt;"DA")),1,0)</f>
        <v>#REF!</v>
      </c>
      <c r="K5" s="96" t="e">
        <f>IF(AND($I$3=11,$H$3=12,OR($J$3&lt;&gt;"DA",$K$3&lt;&gt;"DA",$L$3&lt;&gt;"DA",$M$3&lt;&gt;"DA",$N$3&lt;&gt;"DA")),1,0)</f>
        <v>#REF!</v>
      </c>
      <c r="L5" s="51"/>
      <c r="M5" s="51"/>
      <c r="N5" s="51"/>
      <c r="O5" s="51"/>
      <c r="P5" s="51"/>
    </row>
    <row r="6" spans="1:17" ht="73.5" customHeight="1" x14ac:dyDescent="0.2">
      <c r="A6" s="105">
        <v>2</v>
      </c>
      <c r="B6" s="106" t="e">
        <f t="shared" si="0"/>
        <v>#REF!</v>
      </c>
      <c r="C6" s="246" t="s">
        <v>3319</v>
      </c>
      <c r="D6" s="95"/>
      <c r="E6" s="51" t="e">
        <f t="shared" si="1"/>
        <v>#REF!</v>
      </c>
      <c r="F6" s="51">
        <v>0</v>
      </c>
      <c r="G6" s="51"/>
      <c r="H6" s="51"/>
      <c r="I6" s="107" t="e">
        <f>IF(AND($I$3=12,OR($H$3=3,$H$3=9),OR($J$3&lt;&gt;"NE",$K$3&lt;&gt;"NE",$L$3&lt;&gt;"NE",$M$3&lt;&gt;"NE",$N$3&lt;&gt;"DA")),1,0)</f>
        <v>#REF!</v>
      </c>
      <c r="J6" s="107" t="e">
        <f>IF(AND($I$3=12,$H$3=6,OR($J$3&lt;&gt;"DA",$K$3&lt;&gt;"NE",$L$3&lt;&gt;"NE",$M$3&lt;&gt;"NE",$N$3&lt;&gt;"DA")),1,0)</f>
        <v>#REF!</v>
      </c>
      <c r="K6" s="96" t="e">
        <f>IF(AND($I$3=12,$H$3=12,OR(J3&lt;&gt;"DA",K3&lt;&gt;"DA",L3&lt;&gt;"DA",M3&lt;&gt;"DA",N3&lt;&gt;"DA")),1,0)</f>
        <v>#REF!</v>
      </c>
      <c r="L6" s="51"/>
      <c r="M6" s="51"/>
      <c r="N6" s="51"/>
      <c r="O6" s="51"/>
      <c r="P6" s="51"/>
    </row>
    <row r="7" spans="1:17" ht="65.25" customHeight="1" x14ac:dyDescent="0.2">
      <c r="A7" s="105">
        <v>3</v>
      </c>
      <c r="B7" s="106" t="e">
        <f t="shared" si="0"/>
        <v>#REF!</v>
      </c>
      <c r="C7" s="246" t="s">
        <v>3320</v>
      </c>
      <c r="D7" s="95"/>
      <c r="E7" s="51" t="e">
        <f t="shared" si="1"/>
        <v>#REF!</v>
      </c>
      <c r="F7" s="51">
        <v>0</v>
      </c>
      <c r="G7" s="51"/>
      <c r="H7" s="51"/>
      <c r="I7" s="96" t="e">
        <f>IF(AND($I$3=13,OR($H$3=3,$H$3=9),OR($J$3&lt;&gt;"DA",$K$3&lt;&gt;"NE",$L$3&lt;&gt;"NE",$M$3&lt;&gt;"NE",$N$3&lt;&gt;"NE")),1,0)</f>
        <v>#REF!</v>
      </c>
      <c r="J7" s="96" t="e">
        <f>IF(AND($I$3=13,$H$3=6,OR($J$3&lt;&gt;"DA",$K$3&lt;&gt;"NE",$L$3&lt;&gt;"NE",$M$3&lt;&gt;"NE",$N$3&lt;&gt;"NE")),1,0)</f>
        <v>#REF!</v>
      </c>
      <c r="K7" s="96" t="e">
        <f>IF(AND($I$3=13,$H$3=12,OR($J$3&lt;&gt;"DA",$K$3&lt;&gt;"DA",$L$3&lt;&gt;"DA",$M$3&lt;&gt;"DA",$N$3&lt;&gt;"NE")),1,0)</f>
        <v>#REF!</v>
      </c>
      <c r="L7" s="51"/>
      <c r="M7" s="51"/>
      <c r="N7" s="51"/>
      <c r="O7" s="51"/>
      <c r="P7" s="51"/>
    </row>
    <row r="8" spans="1:17" ht="74.25" customHeight="1" x14ac:dyDescent="0.2">
      <c r="A8" s="105">
        <v>4</v>
      </c>
      <c r="B8" s="106" t="e">
        <f t="shared" si="0"/>
        <v>#REF!</v>
      </c>
      <c r="C8" s="246" t="s">
        <v>3321</v>
      </c>
      <c r="D8" s="95"/>
      <c r="E8" s="51" t="e">
        <f t="shared" si="1"/>
        <v>#REF!</v>
      </c>
      <c r="F8" s="51">
        <v>0</v>
      </c>
      <c r="G8" s="51"/>
      <c r="H8" s="51"/>
      <c r="I8" s="96" t="e">
        <f>IF(AND($I$3=21,OR($H$3=3,$H$3=9),OR($J$3&lt;&gt;"DA",$K$3&lt;&gt;"NE",$L$3&lt;&gt;"NE",$M$3&lt;&gt;"NE",$N$3&lt;&gt;"NE")),1,0)</f>
        <v>#REF!</v>
      </c>
      <c r="J8" s="96" t="e">
        <f>IF(AND($I$3=21,$H$3=6,OR($J$3&lt;&gt;"DA",$K$3&lt;&gt;"NE",$L$3&lt;&gt;"NE",$M$3&lt;&gt;"NE",$N$3&lt;&gt;"DA")),1,0)</f>
        <v>#REF!</v>
      </c>
      <c r="K8" s="96" t="e">
        <f>IF(AND($I$3=21,$H$3=12,OR($J$3&lt;&gt;"DA",$K$3&lt;&gt;"DA",$L$3&lt;&gt;"DA",$M$3&lt;&gt;"DA",$N$3&lt;&gt;"DA")),1,0)</f>
        <v>#REF!</v>
      </c>
      <c r="L8" s="51"/>
      <c r="M8" s="51"/>
      <c r="N8" s="51"/>
      <c r="O8" s="51"/>
      <c r="P8" s="51"/>
    </row>
    <row r="9" spans="1:17" ht="62.25" customHeight="1" x14ac:dyDescent="0.2">
      <c r="A9" s="105">
        <v>5</v>
      </c>
      <c r="B9" s="106" t="e">
        <f t="shared" si="0"/>
        <v>#REF!</v>
      </c>
      <c r="C9" s="246" t="s">
        <v>3322</v>
      </c>
      <c r="D9" s="95"/>
      <c r="E9" s="51" t="e">
        <f t="shared" si="1"/>
        <v>#REF!</v>
      </c>
      <c r="F9" s="51">
        <v>0</v>
      </c>
      <c r="G9" s="51"/>
      <c r="H9" s="51"/>
      <c r="I9" s="96" t="e">
        <f>IF(AND($I$3=22,OR($H$3=3,$H$3=9),OR($J$3&lt;&gt;"DA",$K$3&lt;&gt;"NE",$L$3&lt;&gt;"NE",$M$3&lt;&gt;"NE",$N$3&lt;&gt;"DA")),1,0)</f>
        <v>#REF!</v>
      </c>
      <c r="J9" s="96" t="e">
        <f>IF(AND($I$3=22,$H$3=6,OR($J$3&lt;&gt;"DA",$K$3&lt;&gt;"NE",$L$3&lt;&gt;"NE",$M$3&lt;&gt;"NE",$N$3&lt;&gt;"DA")),1,0)</f>
        <v>#REF!</v>
      </c>
      <c r="K9" s="96" t="e">
        <f>IF(AND($I$3=22,$H$3=12,OR($J$3&lt;&gt;"DA",$K$3&lt;&gt;"DA",$L$3&lt;&gt;"DA",$M$3&lt;&gt;"DA",$N$3&lt;&gt;"DA")),1,0)</f>
        <v>#REF!</v>
      </c>
      <c r="L9" s="51"/>
      <c r="M9" s="51"/>
      <c r="N9" s="51"/>
      <c r="O9" s="51"/>
      <c r="P9" s="51"/>
    </row>
    <row r="10" spans="1:17" ht="75.75" customHeight="1" x14ac:dyDescent="0.2">
      <c r="A10" s="105">
        <v>6</v>
      </c>
      <c r="B10" s="106" t="e">
        <f t="shared" si="0"/>
        <v>#REF!</v>
      </c>
      <c r="C10" s="246" t="s">
        <v>3323</v>
      </c>
      <c r="D10" s="95"/>
      <c r="E10" s="51" t="e">
        <f t="shared" si="1"/>
        <v>#REF!</v>
      </c>
      <c r="F10" s="51">
        <v>0</v>
      </c>
      <c r="G10" s="51"/>
      <c r="H10" s="51"/>
      <c r="I10" s="96">
        <f>IF(AND($I$3=23,OR($H$3=3,$H$3=9)),1,0)</f>
        <v>0</v>
      </c>
      <c r="J10" s="96" t="e">
        <f>IF(AND($I$3=23,$H$3=6,OR($J$3&lt;&gt;"DA",$K$3&lt;&gt;"NE",$L$3&lt;&gt;"NE",$M$3&lt;&gt;"NE",$N$3&lt;&gt;"DA")),1,0)</f>
        <v>#REF!</v>
      </c>
      <c r="K10" s="96" t="e">
        <f>IF(AND($I$3=23,$H$3=12,OR($J$3&lt;&gt;"DA",$K$3&lt;&gt;"DA",$L$3&lt;&gt;"DA",$M$3&lt;&gt;"DA",$N$3&lt;&gt;"DA")),1,0)</f>
        <v>#REF!</v>
      </c>
      <c r="L10" s="51"/>
      <c r="M10" s="51"/>
      <c r="N10" s="51"/>
      <c r="O10" s="51"/>
      <c r="P10" s="51"/>
    </row>
    <row r="11" spans="1:17" ht="71.25" customHeight="1" x14ac:dyDescent="0.2">
      <c r="A11" s="105">
        <v>7</v>
      </c>
      <c r="B11" s="106" t="e">
        <f t="shared" si="0"/>
        <v>#REF!</v>
      </c>
      <c r="C11" s="246" t="s">
        <v>3324</v>
      </c>
      <c r="D11" s="95"/>
      <c r="E11" s="51" t="e">
        <f t="shared" si="1"/>
        <v>#REF!</v>
      </c>
      <c r="F11" s="51">
        <v>0</v>
      </c>
      <c r="G11" s="51"/>
      <c r="H11" s="51"/>
      <c r="I11" s="96" t="e">
        <f>IF(AND($I$3=31,OR($H$3=3,$H$3=9),OR($J$3&lt;&gt;"DA",$K$3&lt;&gt;"NE",$L$3&lt;&gt;"NE",$M$3&lt;&gt;"NE",$N$3&lt;&gt;"NE")),1,0)</f>
        <v>#REF!</v>
      </c>
      <c r="J11" s="96" t="e">
        <f>IF(AND($I$3=31,$H$3=6,OR($J$3&lt;&gt;"DA",$K$3&lt;&gt;"NE",$L$3&lt;&gt;"NE",$M$3&lt;&gt;"NE",$N$3&lt;&gt;"DA")),1,0)</f>
        <v>#REF!</v>
      </c>
      <c r="K11" s="96" t="e">
        <f>IF(AND($I$3=31,$H$3=12,OR($J$3&lt;&gt;"DA",$K$3&lt;&gt;"DA",$L$3&lt;&gt;"DA",$M$3&lt;&gt;"DA",$N$3&lt;&gt;"DA")),1,0)</f>
        <v>#REF!</v>
      </c>
      <c r="L11" s="51"/>
      <c r="M11" s="108"/>
      <c r="N11" s="51"/>
      <c r="O11" s="51"/>
      <c r="P11" s="51"/>
    </row>
    <row r="12" spans="1:17" ht="66" customHeight="1" x14ac:dyDescent="0.2">
      <c r="A12" s="105">
        <v>8</v>
      </c>
      <c r="B12" s="106" t="e">
        <f t="shared" si="0"/>
        <v>#REF!</v>
      </c>
      <c r="C12" s="246" t="s">
        <v>3325</v>
      </c>
      <c r="D12" s="95"/>
      <c r="E12" s="51" t="e">
        <f t="shared" si="1"/>
        <v>#REF!</v>
      </c>
      <c r="F12" s="51">
        <v>0</v>
      </c>
      <c r="G12" s="51"/>
      <c r="H12" s="51"/>
      <c r="I12" s="96" t="e">
        <f>IF(AND($I$3=41,OR($H$3=3,$H$3=9),OR($J$3&lt;&gt;"DA",$K$3&lt;&gt;"NE",$L$3&lt;&gt;"NE",$M$3&lt;&gt;"NE",$N$3&lt;&gt;"DA")),1,0)</f>
        <v>#REF!</v>
      </c>
      <c r="J12" s="96" t="e">
        <f>IF(AND($I$3=41,$H$3=6,OR($J$3&lt;&gt;"DA",$K$3&lt;&gt;"NE",$L$3&lt;&gt;"NE",$M$3&lt;&gt;"NE",$N$3&lt;&gt;"DA")),1,0)</f>
        <v>#REF!</v>
      </c>
      <c r="K12" s="96" t="e">
        <f>IF(AND($I$3=41,$H$3=12,OR($J$3&lt;&gt;"DA",$K$3&lt;&gt;"DA",$L$3&lt;&gt;"DA",$M$3&lt;&gt;"DA",$N$3&lt;&gt;"DA")),1,0)</f>
        <v>#REF!</v>
      </c>
      <c r="L12" s="51"/>
      <c r="M12" s="51"/>
      <c r="N12" s="51"/>
      <c r="O12" s="51"/>
      <c r="P12" s="51"/>
    </row>
    <row r="13" spans="1:17" ht="75" customHeight="1" x14ac:dyDescent="0.2">
      <c r="A13" s="105">
        <v>9</v>
      </c>
      <c r="B13" s="106" t="e">
        <f t="shared" si="0"/>
        <v>#REF!</v>
      </c>
      <c r="C13" s="246" t="s">
        <v>3326</v>
      </c>
      <c r="D13" s="95"/>
      <c r="E13" s="51" t="e">
        <f t="shared" si="1"/>
        <v>#REF!</v>
      </c>
      <c r="F13" s="51">
        <v>0</v>
      </c>
      <c r="G13" s="51"/>
      <c r="H13" s="51"/>
      <c r="I13" s="96" t="e">
        <f>IF(AND($I$3=42,OR($H$3=3,$H$3=9),OR($J$3&lt;&gt;"DA",$K$3&lt;&gt;"NE",$L$3&lt;&gt;"NE",$M$3&lt;&gt;"NE",$N$3&lt;&gt;"NE")),1,0)</f>
        <v>#REF!</v>
      </c>
      <c r="J13" s="96" t="e">
        <f>IF(AND($I$3=42,$H$3=6,OR($J$3&lt;&gt;"DA",$K$3&lt;&gt;"NE",$L$3&lt;&gt;"NE",$M$3&lt;&gt;"NE",$N$3&lt;&gt;"DA")),1,0)</f>
        <v>#REF!</v>
      </c>
      <c r="K13" s="96" t="e">
        <f>IF(AND($I$3=42,$H$3=12,OR($J$3&lt;&gt;"DA",$K$3&lt;&gt;"DA",$L$3&lt;&gt;"DA",$M$3&lt;&gt;"DA",$N$3&lt;&gt;"DA")),1,0)</f>
        <v>#REF!</v>
      </c>
      <c r="L13" s="51"/>
      <c r="M13" s="51"/>
      <c r="N13" s="51"/>
      <c r="O13" s="51"/>
      <c r="P13" s="51"/>
    </row>
    <row r="14" spans="1:17" ht="19.5" customHeight="1" x14ac:dyDescent="0.2">
      <c r="A14" s="394" t="s">
        <v>3327</v>
      </c>
      <c r="B14" s="389"/>
      <c r="C14" s="390"/>
      <c r="D14" s="95"/>
      <c r="E14" s="51" t="e">
        <f>SUM(E15:E22)</f>
        <v>#REF!</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e">
        <f t="shared" si="2"/>
        <v>#REF!</v>
      </c>
      <c r="C18" s="136" t="s">
        <v>3331</v>
      </c>
      <c r="D18" s="95"/>
      <c r="E18" s="51" t="e">
        <f t="shared" si="3"/>
        <v>#REF!</v>
      </c>
      <c r="F18" s="51">
        <v>0</v>
      </c>
      <c r="G18" s="110" t="e">
        <f>IF(AND(J3="DA",K3="DA",ABS('PR-RAS'!D423-'PR-RAS'!D250-'RAS-funkcijski'!D141)&gt;0.001),1,0)</f>
        <v>#REF!</v>
      </c>
      <c r="H18" s="226" t="e">
        <f>IF(AND(J3="DA",K3="DA",ABS('PR-RAS'!E423-'PR-RAS'!E250-'RAS-funkcijski'!E141)&gt;0.001),1,0)</f>
        <v>#REF!</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8" t="s">
        <v>3336</v>
      </c>
      <c r="B23" s="389"/>
      <c r="C23" s="390"/>
      <c r="D23" s="95"/>
      <c r="E23" s="51">
        <f>SUM(E24:E297)</f>
        <v>0</v>
      </c>
      <c r="F23" s="51">
        <f>SUM(F24:F297)</f>
        <v>14</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3542</v>
      </c>
      <c r="D229" s="95"/>
      <c r="E229" s="51">
        <f t="shared" si="17"/>
        <v>0</v>
      </c>
      <c r="F229" s="51">
        <f t="shared" ref="F229:F297" si="18">MAX(L229:O229)</f>
        <v>1</v>
      </c>
      <c r="G229" s="51"/>
      <c r="H229" s="51"/>
      <c r="I229" s="51"/>
      <c r="J229" s="51"/>
      <c r="K229" s="51"/>
      <c r="L229" s="51">
        <f>IF(AND('PR-RAS'!D24&gt;0,'PR-RAS'!D662=0,'PR-RAS'!D663=0),1,0)</f>
        <v>1</v>
      </c>
      <c r="M229" s="51">
        <f>IF(AND('PR-RAS'!E24&gt;0,'PR-RAS'!E662=0,'PR-RAS'!E663=0),1,0)</f>
        <v>1</v>
      </c>
      <c r="N229" s="51"/>
      <c r="O229" s="51"/>
      <c r="P229" s="51"/>
    </row>
    <row r="230" spans="1:16" ht="30" customHeight="1" x14ac:dyDescent="0.2">
      <c r="A230" s="105">
        <v>270</v>
      </c>
      <c r="B230" s="106" t="str">
        <f t="shared" si="16"/>
        <v>Provjera</v>
      </c>
      <c r="C230" s="91" t="s">
        <v>3543</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3545</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3546</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3548</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3551</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Provjera</v>
      </c>
      <c r="C239" s="91" t="s">
        <v>3552</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3559</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3560</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8" t="s">
        <v>1980</v>
      </c>
      <c r="B298" s="389"/>
      <c r="C298" s="390"/>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8" t="s">
        <v>1983</v>
      </c>
      <c r="B342" s="389"/>
      <c r="C342" s="390"/>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8" t="s">
        <v>1982</v>
      </c>
      <c r="B345" s="389"/>
      <c r="C345" s="390"/>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8" t="s">
        <v>3655</v>
      </c>
      <c r="B347" s="389"/>
      <c r="C347" s="390"/>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6" t="s">
        <v>2020</v>
      </c>
      <c r="B1" s="406"/>
      <c r="C1" s="406"/>
    </row>
    <row r="2" spans="1:16" ht="33" customHeight="1" x14ac:dyDescent="0.2">
      <c r="A2" s="407" t="s">
        <v>2021</v>
      </c>
      <c r="B2" s="408"/>
      <c r="C2" s="398"/>
      <c r="D2" s="5"/>
      <c r="E2" s="5"/>
      <c r="F2" s="5"/>
      <c r="G2" s="5"/>
      <c r="H2" s="5"/>
      <c r="I2" s="5"/>
      <c r="J2" s="5"/>
      <c r="K2" s="5"/>
      <c r="L2" s="5"/>
      <c r="M2" s="5"/>
      <c r="N2" s="5"/>
      <c r="O2" s="5"/>
      <c r="P2" s="5"/>
    </row>
    <row r="3" spans="1:16" ht="18.75" customHeight="1" x14ac:dyDescent="0.2">
      <c r="A3" s="222" t="s">
        <v>2022</v>
      </c>
      <c r="B3" s="409" t="s">
        <v>2023</v>
      </c>
      <c r="C3" s="398"/>
      <c r="D3" s="5"/>
      <c r="E3" s="5"/>
      <c r="F3" s="5"/>
      <c r="G3" s="5"/>
      <c r="H3" s="5"/>
      <c r="I3" s="5"/>
      <c r="J3" s="5"/>
      <c r="K3" s="5"/>
      <c r="L3" s="5"/>
      <c r="M3" s="5"/>
      <c r="N3" s="5"/>
      <c r="O3" s="5"/>
      <c r="P3" s="5"/>
    </row>
    <row r="4" spans="1:16" ht="37.5" hidden="1" customHeight="1" x14ac:dyDescent="0.2">
      <c r="A4" s="223" t="s">
        <v>2024</v>
      </c>
      <c r="B4" s="397" t="s">
        <v>2025</v>
      </c>
      <c r="C4" s="398"/>
      <c r="D4" s="5"/>
      <c r="E4" s="5"/>
      <c r="F4" s="5"/>
      <c r="G4" s="5"/>
      <c r="H4" s="5"/>
      <c r="I4" s="5"/>
      <c r="J4" s="5"/>
      <c r="K4" s="5"/>
      <c r="L4" s="5"/>
      <c r="M4" s="5"/>
      <c r="N4" s="5"/>
      <c r="O4" s="5"/>
      <c r="P4" s="5"/>
    </row>
    <row r="5" spans="1:16" ht="48" hidden="1" customHeight="1" x14ac:dyDescent="0.2">
      <c r="A5" s="223" t="s">
        <v>2024</v>
      </c>
      <c r="B5" s="397" t="s">
        <v>2026</v>
      </c>
      <c r="C5" s="398"/>
      <c r="D5" s="5"/>
      <c r="E5" s="5"/>
      <c r="F5" s="5"/>
      <c r="G5" s="5"/>
      <c r="H5" s="5"/>
      <c r="I5" s="5"/>
      <c r="J5" s="5"/>
      <c r="K5" s="5"/>
      <c r="L5" s="5"/>
      <c r="M5" s="5"/>
      <c r="N5" s="5"/>
      <c r="O5" s="5"/>
      <c r="P5" s="5"/>
    </row>
    <row r="6" spans="1:16" ht="59.25" hidden="1" customHeight="1" x14ac:dyDescent="0.2">
      <c r="A6" s="223" t="s">
        <v>2024</v>
      </c>
      <c r="B6" s="397" t="s">
        <v>2027</v>
      </c>
      <c r="C6" s="398"/>
      <c r="D6" s="5"/>
      <c r="E6" s="5"/>
      <c r="F6" s="5"/>
      <c r="G6" s="5"/>
      <c r="H6" s="5"/>
      <c r="I6" s="5"/>
      <c r="J6" s="5"/>
      <c r="K6" s="5"/>
      <c r="L6" s="5"/>
      <c r="M6" s="5"/>
      <c r="N6" s="5"/>
      <c r="O6" s="5"/>
      <c r="P6" s="5"/>
    </row>
    <row r="7" spans="1:16" ht="48" hidden="1" customHeight="1" x14ac:dyDescent="0.2">
      <c r="A7" s="223" t="s">
        <v>2028</v>
      </c>
      <c r="B7" s="397" t="s">
        <v>2029</v>
      </c>
      <c r="C7" s="398"/>
      <c r="D7" s="5"/>
      <c r="E7" s="5"/>
      <c r="F7" s="5"/>
      <c r="G7" s="5"/>
      <c r="H7" s="5"/>
      <c r="I7" s="5"/>
      <c r="J7" s="5"/>
      <c r="K7" s="5"/>
      <c r="L7" s="5"/>
      <c r="M7" s="5"/>
      <c r="N7" s="5"/>
      <c r="O7" s="5"/>
      <c r="P7" s="5"/>
    </row>
    <row r="8" spans="1:16" ht="41.25" hidden="1" customHeight="1" x14ac:dyDescent="0.2">
      <c r="A8" s="223" t="s">
        <v>2030</v>
      </c>
      <c r="B8" s="397" t="s">
        <v>2031</v>
      </c>
      <c r="C8" s="398"/>
      <c r="D8" s="5"/>
      <c r="E8" s="5"/>
      <c r="F8" s="5"/>
      <c r="G8" s="5"/>
      <c r="H8" s="5"/>
      <c r="I8" s="5"/>
      <c r="J8" s="5"/>
      <c r="K8" s="5"/>
      <c r="L8" s="5"/>
      <c r="M8" s="5"/>
      <c r="N8" s="5"/>
      <c r="O8" s="5"/>
      <c r="P8" s="5"/>
    </row>
    <row r="9" spans="1:16" ht="59.25" hidden="1" customHeight="1" x14ac:dyDescent="0.2">
      <c r="A9" s="223" t="s">
        <v>2032</v>
      </c>
      <c r="B9" s="397" t="s">
        <v>2033</v>
      </c>
      <c r="C9" s="398"/>
      <c r="D9" s="5"/>
      <c r="E9" s="5"/>
      <c r="F9" s="5"/>
      <c r="G9" s="5"/>
      <c r="H9" s="5"/>
      <c r="I9" s="5"/>
      <c r="J9" s="5"/>
      <c r="K9" s="5"/>
      <c r="L9" s="5"/>
      <c r="M9" s="5"/>
      <c r="N9" s="5"/>
      <c r="O9" s="5"/>
      <c r="P9" s="5"/>
    </row>
    <row r="10" spans="1:16" ht="61.5" hidden="1" customHeight="1" x14ac:dyDescent="0.2">
      <c r="A10" s="223" t="s">
        <v>2032</v>
      </c>
      <c r="B10" s="397" t="s">
        <v>2034</v>
      </c>
      <c r="C10" s="398"/>
      <c r="D10" s="5"/>
      <c r="E10" s="5"/>
      <c r="F10" s="5"/>
      <c r="G10" s="5"/>
      <c r="H10" s="5"/>
      <c r="I10" s="5"/>
      <c r="J10" s="5"/>
      <c r="K10" s="5"/>
      <c r="L10" s="5"/>
      <c r="M10" s="5"/>
      <c r="N10" s="5"/>
      <c r="O10" s="5"/>
      <c r="P10" s="5"/>
    </row>
    <row r="11" spans="1:16" ht="43.5" hidden="1" customHeight="1" x14ac:dyDescent="0.2">
      <c r="A11" s="223" t="s">
        <v>2032</v>
      </c>
      <c r="B11" s="397" t="s">
        <v>2035</v>
      </c>
      <c r="C11" s="398"/>
      <c r="D11" s="5"/>
      <c r="E11" s="5"/>
      <c r="F11" s="5"/>
      <c r="G11" s="5"/>
      <c r="H11" s="5"/>
      <c r="I11" s="5"/>
      <c r="J11" s="5"/>
      <c r="K11" s="5"/>
      <c r="L11" s="5"/>
      <c r="M11" s="5"/>
      <c r="N11" s="5"/>
      <c r="O11" s="5"/>
      <c r="P11" s="5"/>
    </row>
    <row r="12" spans="1:16" ht="27.75" hidden="1" customHeight="1" x14ac:dyDescent="0.2">
      <c r="A12" s="223" t="s">
        <v>2036</v>
      </c>
      <c r="B12" s="397" t="s">
        <v>2037</v>
      </c>
      <c r="C12" s="398"/>
      <c r="D12" s="5"/>
      <c r="E12" s="5"/>
      <c r="F12" s="5"/>
      <c r="G12" s="5"/>
      <c r="H12" s="5"/>
      <c r="I12" s="5"/>
      <c r="J12" s="5"/>
      <c r="K12" s="5"/>
      <c r="L12" s="5"/>
      <c r="M12" s="5"/>
      <c r="N12" s="5"/>
      <c r="O12" s="5"/>
      <c r="P12" s="5"/>
    </row>
    <row r="13" spans="1:16" ht="27.75" hidden="1" customHeight="1" x14ac:dyDescent="0.2">
      <c r="A13" s="223" t="s">
        <v>2038</v>
      </c>
      <c r="B13" s="397" t="s">
        <v>2039</v>
      </c>
      <c r="C13" s="398"/>
      <c r="D13" s="5"/>
      <c r="E13" s="5"/>
      <c r="F13" s="5"/>
      <c r="G13" s="5"/>
      <c r="H13" s="5"/>
      <c r="I13" s="5"/>
      <c r="J13" s="5"/>
      <c r="K13" s="5"/>
      <c r="L13" s="5"/>
      <c r="M13" s="5"/>
      <c r="N13" s="5"/>
      <c r="O13" s="5"/>
      <c r="P13" s="5"/>
    </row>
    <row r="14" spans="1:16" ht="45.75" hidden="1" customHeight="1" x14ac:dyDescent="0.2">
      <c r="A14" s="223" t="s">
        <v>2040</v>
      </c>
      <c r="B14" s="397" t="s">
        <v>2041</v>
      </c>
      <c r="C14" s="398"/>
      <c r="D14" s="5"/>
      <c r="E14" s="5"/>
      <c r="F14" s="5"/>
      <c r="G14" s="5"/>
      <c r="H14" s="5"/>
      <c r="I14" s="5"/>
      <c r="J14" s="5"/>
      <c r="K14" s="5"/>
      <c r="L14" s="5"/>
      <c r="M14" s="5"/>
      <c r="N14" s="5"/>
      <c r="O14" s="5"/>
      <c r="P14" s="5"/>
    </row>
    <row r="15" spans="1:16" ht="45.75" hidden="1" customHeight="1" x14ac:dyDescent="0.2">
      <c r="A15" s="223" t="s">
        <v>2042</v>
      </c>
      <c r="B15" s="397" t="s">
        <v>2043</v>
      </c>
      <c r="C15" s="398"/>
      <c r="D15" s="5"/>
      <c r="E15" s="5"/>
      <c r="F15" s="5"/>
      <c r="G15" s="5"/>
      <c r="H15" s="5"/>
      <c r="I15" s="5"/>
      <c r="J15" s="5"/>
      <c r="K15" s="5"/>
      <c r="L15" s="5"/>
      <c r="M15" s="5"/>
      <c r="N15" s="5"/>
      <c r="O15" s="5"/>
      <c r="P15" s="5"/>
    </row>
    <row r="16" spans="1:16" ht="51" hidden="1" customHeight="1" x14ac:dyDescent="0.2">
      <c r="A16" s="223" t="s">
        <v>2044</v>
      </c>
      <c r="B16" s="397" t="s">
        <v>2045</v>
      </c>
      <c r="C16" s="398"/>
      <c r="D16" s="5"/>
      <c r="E16" s="5"/>
      <c r="F16" s="5"/>
      <c r="G16" s="5"/>
      <c r="H16" s="5"/>
      <c r="I16" s="5"/>
      <c r="J16" s="5"/>
      <c r="K16" s="5"/>
      <c r="L16" s="5"/>
      <c r="M16" s="5"/>
      <c r="N16" s="5"/>
      <c r="O16" s="5"/>
      <c r="P16" s="5"/>
    </row>
    <row r="17" spans="1:16" ht="27.75" hidden="1" customHeight="1" x14ac:dyDescent="0.2">
      <c r="A17" s="223" t="s">
        <v>2046</v>
      </c>
      <c r="B17" s="397" t="s">
        <v>2047</v>
      </c>
      <c r="C17" s="398"/>
      <c r="D17" s="5"/>
      <c r="E17" s="5"/>
      <c r="F17" s="5"/>
      <c r="G17" s="5"/>
      <c r="H17" s="5"/>
      <c r="I17" s="5"/>
      <c r="J17" s="5"/>
      <c r="K17" s="5"/>
      <c r="L17" s="5"/>
      <c r="M17" s="5"/>
      <c r="N17" s="5"/>
      <c r="O17" s="5"/>
      <c r="P17" s="5"/>
    </row>
    <row r="18" spans="1:16" ht="27.75" hidden="1" customHeight="1" x14ac:dyDescent="0.2">
      <c r="A18" s="223" t="s">
        <v>2048</v>
      </c>
      <c r="B18" s="397" t="s">
        <v>2049</v>
      </c>
      <c r="C18" s="398"/>
      <c r="D18" s="5"/>
      <c r="E18" s="5"/>
      <c r="F18" s="5"/>
      <c r="G18" s="5"/>
      <c r="H18" s="5"/>
      <c r="I18" s="5"/>
      <c r="J18" s="5"/>
      <c r="K18" s="5"/>
      <c r="L18" s="5"/>
      <c r="M18" s="5"/>
      <c r="N18" s="5"/>
      <c r="O18" s="5"/>
      <c r="P18" s="5"/>
    </row>
    <row r="19" spans="1:16" ht="45" hidden="1" customHeight="1" x14ac:dyDescent="0.2">
      <c r="A19" s="223" t="s">
        <v>2048</v>
      </c>
      <c r="B19" s="397" t="s">
        <v>2050</v>
      </c>
      <c r="C19" s="398"/>
      <c r="D19" s="5"/>
      <c r="E19" s="5"/>
      <c r="F19" s="5"/>
      <c r="G19" s="5"/>
      <c r="H19" s="5"/>
      <c r="I19" s="5"/>
      <c r="J19" s="5"/>
      <c r="K19" s="5"/>
      <c r="L19" s="5"/>
      <c r="M19" s="5"/>
      <c r="N19" s="5"/>
      <c r="O19" s="5"/>
      <c r="P19" s="5"/>
    </row>
    <row r="20" spans="1:16" ht="45" hidden="1" customHeight="1" x14ac:dyDescent="0.2">
      <c r="A20" s="223" t="s">
        <v>2051</v>
      </c>
      <c r="B20" s="397" t="s">
        <v>2052</v>
      </c>
      <c r="C20" s="398"/>
      <c r="D20" s="5"/>
      <c r="E20" s="5"/>
      <c r="F20" s="5"/>
      <c r="G20" s="5"/>
      <c r="H20" s="5"/>
      <c r="I20" s="5"/>
      <c r="J20" s="5"/>
      <c r="K20" s="5"/>
      <c r="L20" s="5"/>
      <c r="M20" s="5"/>
      <c r="N20" s="5"/>
      <c r="O20" s="5"/>
      <c r="P20" s="5"/>
    </row>
    <row r="21" spans="1:16" ht="30" hidden="1" customHeight="1" x14ac:dyDescent="0.2">
      <c r="A21" s="223" t="s">
        <v>2053</v>
      </c>
      <c r="B21" s="397" t="s">
        <v>2054</v>
      </c>
      <c r="C21" s="398"/>
      <c r="D21" s="5"/>
      <c r="E21" s="5"/>
      <c r="F21" s="5"/>
      <c r="G21" s="5"/>
      <c r="H21" s="5"/>
      <c r="I21" s="5"/>
      <c r="J21" s="5"/>
      <c r="K21" s="5"/>
      <c r="L21" s="5"/>
      <c r="M21" s="5"/>
      <c r="N21" s="5"/>
      <c r="O21" s="5"/>
      <c r="P21" s="5"/>
    </row>
    <row r="22" spans="1:16" ht="30" hidden="1" customHeight="1" x14ac:dyDescent="0.2">
      <c r="A22" s="223" t="s">
        <v>2055</v>
      </c>
      <c r="B22" s="397" t="s">
        <v>2056</v>
      </c>
      <c r="C22" s="398"/>
      <c r="D22" s="5"/>
      <c r="E22" s="5"/>
      <c r="F22" s="5"/>
      <c r="G22" s="5"/>
      <c r="H22" s="5"/>
      <c r="I22" s="5"/>
      <c r="J22" s="5"/>
      <c r="K22" s="5"/>
      <c r="L22" s="5"/>
      <c r="M22" s="5"/>
      <c r="N22" s="5"/>
      <c r="O22" s="5"/>
      <c r="P22" s="5"/>
    </row>
    <row r="23" spans="1:16" ht="30" hidden="1" customHeight="1" x14ac:dyDescent="0.2">
      <c r="A23" s="223" t="s">
        <v>2057</v>
      </c>
      <c r="B23" s="397" t="s">
        <v>2058</v>
      </c>
      <c r="C23" s="398"/>
      <c r="D23" s="5"/>
      <c r="E23" s="5"/>
      <c r="F23" s="5"/>
      <c r="G23" s="5"/>
      <c r="H23" s="5"/>
      <c r="I23" s="5"/>
      <c r="J23" s="5"/>
      <c r="K23" s="5"/>
      <c r="L23" s="5"/>
      <c r="M23" s="5"/>
      <c r="N23" s="5"/>
      <c r="O23" s="5"/>
      <c r="P23" s="5"/>
    </row>
    <row r="24" spans="1:16" ht="30" hidden="1" customHeight="1" x14ac:dyDescent="0.2">
      <c r="A24" s="223" t="s">
        <v>2059</v>
      </c>
      <c r="B24" s="397" t="s">
        <v>2060</v>
      </c>
      <c r="C24" s="398"/>
      <c r="D24" s="5"/>
      <c r="E24" s="5"/>
      <c r="F24" s="5"/>
      <c r="G24" s="5"/>
      <c r="H24" s="5"/>
      <c r="I24" s="5"/>
      <c r="J24" s="5"/>
      <c r="K24" s="5"/>
      <c r="L24" s="5"/>
      <c r="M24" s="5"/>
      <c r="N24" s="5"/>
      <c r="O24" s="5"/>
      <c r="P24" s="5"/>
    </row>
    <row r="25" spans="1:16" ht="30" hidden="1" customHeight="1" x14ac:dyDescent="0.2">
      <c r="A25" s="223" t="s">
        <v>2061</v>
      </c>
      <c r="B25" s="397" t="s">
        <v>2062</v>
      </c>
      <c r="C25" s="398"/>
      <c r="D25" s="5"/>
      <c r="E25" s="5"/>
      <c r="F25" s="5"/>
      <c r="G25" s="5"/>
      <c r="H25" s="5"/>
      <c r="I25" s="5"/>
      <c r="J25" s="5"/>
      <c r="K25" s="5"/>
      <c r="L25" s="5"/>
      <c r="M25" s="5"/>
      <c r="N25" s="5"/>
      <c r="O25" s="5"/>
      <c r="P25" s="5"/>
    </row>
    <row r="26" spans="1:16" ht="30" hidden="1" customHeight="1" x14ac:dyDescent="0.2">
      <c r="A26" s="223" t="s">
        <v>2063</v>
      </c>
      <c r="B26" s="397" t="s">
        <v>2064</v>
      </c>
      <c r="C26" s="398"/>
      <c r="D26" s="5"/>
      <c r="E26" s="5"/>
      <c r="F26" s="5"/>
      <c r="G26" s="5"/>
      <c r="H26" s="5"/>
      <c r="I26" s="5"/>
      <c r="J26" s="5"/>
      <c r="K26" s="5"/>
      <c r="L26" s="5"/>
      <c r="M26" s="5"/>
      <c r="N26" s="5"/>
      <c r="O26" s="5"/>
      <c r="P26" s="5"/>
    </row>
    <row r="27" spans="1:16" ht="70.5" hidden="1" customHeight="1" x14ac:dyDescent="0.2">
      <c r="A27" s="223" t="s">
        <v>2065</v>
      </c>
      <c r="B27" s="397" t="s">
        <v>2066</v>
      </c>
      <c r="C27" s="398"/>
      <c r="D27" s="5"/>
      <c r="E27" s="5"/>
      <c r="F27" s="5"/>
      <c r="G27" s="5"/>
      <c r="H27" s="5"/>
      <c r="I27" s="5"/>
      <c r="J27" s="5"/>
      <c r="K27" s="5"/>
      <c r="L27" s="5"/>
      <c r="M27" s="5"/>
      <c r="N27" s="5"/>
      <c r="O27" s="5"/>
      <c r="P27" s="5"/>
    </row>
    <row r="28" spans="1:16" ht="48" hidden="1" customHeight="1" x14ac:dyDescent="0.2">
      <c r="A28" s="223" t="s">
        <v>2067</v>
      </c>
      <c r="B28" s="397" t="s">
        <v>2068</v>
      </c>
      <c r="C28" s="398"/>
      <c r="D28" s="5"/>
      <c r="E28" s="5"/>
      <c r="F28" s="5"/>
      <c r="G28" s="5"/>
      <c r="H28" s="5"/>
      <c r="I28" s="5"/>
      <c r="J28" s="5"/>
      <c r="K28" s="5"/>
      <c r="L28" s="5"/>
      <c r="M28" s="5"/>
      <c r="N28" s="5"/>
      <c r="O28" s="5"/>
      <c r="P28" s="5"/>
    </row>
    <row r="29" spans="1:16" ht="100.5" hidden="1" customHeight="1" x14ac:dyDescent="0.2">
      <c r="A29" s="223" t="s">
        <v>2069</v>
      </c>
      <c r="B29" s="397" t="s">
        <v>2070</v>
      </c>
      <c r="C29" s="398"/>
      <c r="D29" s="5"/>
      <c r="E29" s="5"/>
      <c r="F29" s="5"/>
      <c r="G29" s="5"/>
      <c r="H29" s="5"/>
      <c r="I29" s="5"/>
      <c r="J29" s="5"/>
      <c r="K29" s="5"/>
      <c r="L29" s="5"/>
      <c r="M29" s="5"/>
      <c r="N29" s="5"/>
      <c r="O29" s="5"/>
      <c r="P29" s="5"/>
    </row>
    <row r="30" spans="1:16" ht="45" hidden="1" customHeight="1" x14ac:dyDescent="0.2">
      <c r="A30" s="223" t="s">
        <v>2071</v>
      </c>
      <c r="B30" s="397" t="s">
        <v>2072</v>
      </c>
      <c r="C30" s="398"/>
      <c r="D30" s="5"/>
      <c r="E30" s="5"/>
      <c r="F30" s="5"/>
      <c r="G30" s="5"/>
      <c r="H30" s="5"/>
      <c r="I30" s="5"/>
      <c r="J30" s="5"/>
      <c r="K30" s="5"/>
      <c r="L30" s="5"/>
      <c r="M30" s="5"/>
      <c r="N30" s="5"/>
      <c r="O30" s="5"/>
      <c r="P30" s="5"/>
    </row>
    <row r="31" spans="1:16" ht="45" hidden="1" customHeight="1" x14ac:dyDescent="0.2">
      <c r="A31" s="223" t="s">
        <v>2073</v>
      </c>
      <c r="B31" s="397" t="s">
        <v>2074</v>
      </c>
      <c r="C31" s="398"/>
      <c r="D31" s="5"/>
      <c r="E31" s="5"/>
      <c r="F31" s="5"/>
      <c r="G31" s="5"/>
      <c r="H31" s="5"/>
      <c r="I31" s="5"/>
      <c r="J31" s="5"/>
      <c r="K31" s="5"/>
      <c r="L31" s="5"/>
      <c r="M31" s="5"/>
      <c r="N31" s="5"/>
      <c r="O31" s="5"/>
      <c r="P31" s="5"/>
    </row>
    <row r="32" spans="1:16" ht="45" hidden="1" customHeight="1" x14ac:dyDescent="0.2">
      <c r="A32" s="223" t="s">
        <v>2075</v>
      </c>
      <c r="B32" s="397" t="s">
        <v>2076</v>
      </c>
      <c r="C32" s="398"/>
      <c r="D32" s="5"/>
      <c r="E32" s="5"/>
      <c r="F32" s="5"/>
      <c r="G32" s="5"/>
      <c r="H32" s="5"/>
      <c r="I32" s="5"/>
      <c r="J32" s="5"/>
      <c r="K32" s="5"/>
      <c r="L32" s="5"/>
      <c r="M32" s="5"/>
      <c r="N32" s="5"/>
      <c r="O32" s="5"/>
      <c r="P32" s="5"/>
    </row>
    <row r="33" spans="1:16" ht="72" hidden="1" customHeight="1" x14ac:dyDescent="0.2">
      <c r="A33" s="223" t="s">
        <v>2077</v>
      </c>
      <c r="B33" s="397" t="s">
        <v>2078</v>
      </c>
      <c r="C33" s="398"/>
      <c r="D33" s="5"/>
      <c r="E33" s="5"/>
      <c r="F33" s="5"/>
      <c r="G33" s="5"/>
      <c r="H33" s="5"/>
      <c r="I33" s="5"/>
      <c r="J33" s="5"/>
      <c r="K33" s="5"/>
      <c r="L33" s="5"/>
      <c r="M33" s="5"/>
      <c r="N33" s="5"/>
      <c r="O33" s="5"/>
      <c r="P33" s="5"/>
    </row>
    <row r="34" spans="1:16" ht="79.5" hidden="1" customHeight="1" x14ac:dyDescent="0.2">
      <c r="A34" s="223" t="s">
        <v>2079</v>
      </c>
      <c r="B34" s="397" t="s">
        <v>2080</v>
      </c>
      <c r="C34" s="398"/>
      <c r="D34" s="5"/>
      <c r="E34" s="5"/>
      <c r="F34" s="5"/>
      <c r="G34" s="5"/>
      <c r="H34" s="5"/>
      <c r="I34" s="5"/>
      <c r="J34" s="5"/>
      <c r="K34" s="5"/>
      <c r="L34" s="5"/>
      <c r="M34" s="5"/>
      <c r="N34" s="5"/>
      <c r="O34" s="5"/>
      <c r="P34" s="5"/>
    </row>
    <row r="35" spans="1:16" ht="70.5" hidden="1" customHeight="1" x14ac:dyDescent="0.2">
      <c r="A35" s="223" t="s">
        <v>2081</v>
      </c>
      <c r="B35" s="397" t="s">
        <v>2082</v>
      </c>
      <c r="C35" s="398"/>
      <c r="D35" s="5"/>
      <c r="E35" s="5"/>
      <c r="F35" s="5"/>
      <c r="G35" s="5"/>
      <c r="H35" s="5"/>
      <c r="I35" s="5"/>
      <c r="J35" s="5"/>
      <c r="K35" s="5"/>
      <c r="L35" s="5"/>
      <c r="M35" s="5"/>
      <c r="N35" s="5"/>
      <c r="O35" s="5"/>
      <c r="P35" s="5"/>
    </row>
    <row r="36" spans="1:16" ht="45.75" hidden="1" customHeight="1" x14ac:dyDescent="0.2">
      <c r="A36" s="223" t="s">
        <v>2083</v>
      </c>
      <c r="B36" s="397" t="s">
        <v>2084</v>
      </c>
      <c r="C36" s="398"/>
      <c r="D36" s="5"/>
      <c r="E36" s="5"/>
      <c r="F36" s="5"/>
      <c r="G36" s="5"/>
      <c r="H36" s="5"/>
      <c r="I36" s="5"/>
      <c r="J36" s="5"/>
      <c r="K36" s="5"/>
      <c r="L36" s="5"/>
      <c r="M36" s="5"/>
      <c r="N36" s="5"/>
      <c r="O36" s="5"/>
      <c r="P36" s="5"/>
    </row>
    <row r="37" spans="1:16" ht="54.75" hidden="1" customHeight="1" x14ac:dyDescent="0.2">
      <c r="A37" s="223" t="s">
        <v>2085</v>
      </c>
      <c r="B37" s="397" t="s">
        <v>2086</v>
      </c>
      <c r="C37" s="398"/>
      <c r="D37" s="5"/>
      <c r="E37" s="5"/>
      <c r="F37" s="5"/>
      <c r="G37" s="5"/>
      <c r="H37" s="5"/>
      <c r="I37" s="5"/>
      <c r="J37" s="5"/>
      <c r="K37" s="5"/>
      <c r="L37" s="5"/>
      <c r="M37" s="5"/>
      <c r="N37" s="5"/>
      <c r="O37" s="5"/>
      <c r="P37" s="5"/>
    </row>
    <row r="38" spans="1:16" ht="37.5" hidden="1" customHeight="1" x14ac:dyDescent="0.2">
      <c r="A38" s="223" t="s">
        <v>2087</v>
      </c>
      <c r="B38" s="397" t="s">
        <v>2088</v>
      </c>
      <c r="C38" s="398"/>
      <c r="D38" s="5"/>
      <c r="E38" s="5"/>
      <c r="F38" s="5"/>
      <c r="G38" s="5"/>
      <c r="H38" s="5"/>
      <c r="I38" s="5"/>
      <c r="J38" s="5"/>
      <c r="K38" s="5"/>
      <c r="L38" s="5"/>
      <c r="M38" s="5"/>
      <c r="N38" s="5"/>
      <c r="O38" s="5"/>
      <c r="P38" s="5"/>
    </row>
    <row r="39" spans="1:16" ht="61.5" hidden="1" customHeight="1" x14ac:dyDescent="0.2">
      <c r="A39" s="223" t="s">
        <v>2089</v>
      </c>
      <c r="B39" s="397" t="s">
        <v>2090</v>
      </c>
      <c r="C39" s="398"/>
      <c r="D39" s="5"/>
      <c r="E39" s="5"/>
      <c r="F39" s="5"/>
      <c r="G39" s="5"/>
      <c r="H39" s="5"/>
      <c r="I39" s="5"/>
      <c r="J39" s="5"/>
      <c r="K39" s="5"/>
      <c r="L39" s="5"/>
      <c r="M39" s="5"/>
      <c r="N39" s="5"/>
      <c r="O39" s="5"/>
      <c r="P39" s="5"/>
    </row>
    <row r="40" spans="1:16" ht="53.25" hidden="1" customHeight="1" x14ac:dyDescent="0.2">
      <c r="A40" s="223" t="s">
        <v>2091</v>
      </c>
      <c r="B40" s="397" t="s">
        <v>2092</v>
      </c>
      <c r="C40" s="398"/>
      <c r="D40" s="5"/>
      <c r="E40" s="5"/>
      <c r="F40" s="5"/>
      <c r="G40" s="5"/>
      <c r="H40" s="5"/>
      <c r="I40" s="5"/>
      <c r="J40" s="5"/>
      <c r="K40" s="5"/>
      <c r="L40" s="5"/>
      <c r="M40" s="5"/>
      <c r="N40" s="5"/>
      <c r="O40" s="5"/>
      <c r="P40" s="5"/>
    </row>
    <row r="41" spans="1:16" ht="73.5" hidden="1" customHeight="1" x14ac:dyDescent="0.2">
      <c r="A41" s="223" t="s">
        <v>2093</v>
      </c>
      <c r="B41" s="397" t="s">
        <v>2094</v>
      </c>
      <c r="C41" s="398"/>
      <c r="D41" s="5"/>
      <c r="E41" s="5"/>
      <c r="F41" s="5"/>
      <c r="G41" s="5"/>
      <c r="H41" s="5"/>
      <c r="I41" s="5"/>
      <c r="J41" s="5"/>
      <c r="K41" s="5"/>
      <c r="L41" s="5"/>
      <c r="M41" s="5"/>
      <c r="N41" s="5"/>
      <c r="O41" s="5"/>
      <c r="P41" s="5"/>
    </row>
    <row r="42" spans="1:16" ht="57.75" hidden="1" customHeight="1" x14ac:dyDescent="0.2">
      <c r="A42" s="223" t="s">
        <v>2095</v>
      </c>
      <c r="B42" s="397" t="s">
        <v>2096</v>
      </c>
      <c r="C42" s="398"/>
      <c r="D42" s="5"/>
      <c r="E42" s="5"/>
      <c r="F42" s="5"/>
      <c r="G42" s="5"/>
      <c r="H42" s="5"/>
      <c r="I42" s="5"/>
      <c r="J42" s="5"/>
      <c r="K42" s="5"/>
      <c r="L42" s="5"/>
      <c r="M42" s="5"/>
      <c r="N42" s="5"/>
      <c r="O42" s="5"/>
      <c r="P42" s="5"/>
    </row>
    <row r="43" spans="1:16" ht="84" hidden="1" customHeight="1" x14ac:dyDescent="0.2">
      <c r="A43" s="223" t="s">
        <v>2097</v>
      </c>
      <c r="B43" s="397" t="s">
        <v>2098</v>
      </c>
      <c r="C43" s="398"/>
      <c r="D43" s="5"/>
      <c r="E43" s="5"/>
      <c r="F43" s="5"/>
      <c r="G43" s="5"/>
      <c r="H43" s="5"/>
      <c r="I43" s="5"/>
      <c r="J43" s="5"/>
      <c r="K43" s="5"/>
      <c r="L43" s="5"/>
      <c r="M43" s="5"/>
      <c r="N43" s="5"/>
      <c r="O43" s="5"/>
      <c r="P43" s="5"/>
    </row>
    <row r="44" spans="1:16" ht="48" hidden="1" customHeight="1" x14ac:dyDescent="0.2">
      <c r="A44" s="223" t="s">
        <v>2099</v>
      </c>
      <c r="B44" s="397" t="s">
        <v>2100</v>
      </c>
      <c r="C44" s="398"/>
      <c r="D44" s="5"/>
      <c r="E44" s="5"/>
      <c r="F44" s="5"/>
      <c r="G44" s="5"/>
      <c r="H44" s="5"/>
      <c r="I44" s="5"/>
      <c r="J44" s="5"/>
      <c r="K44" s="5"/>
      <c r="L44" s="5"/>
      <c r="M44" s="5"/>
      <c r="N44" s="5"/>
      <c r="O44" s="5"/>
      <c r="P44" s="5"/>
    </row>
    <row r="45" spans="1:16" ht="57" hidden="1" customHeight="1" x14ac:dyDescent="0.2">
      <c r="A45" s="223" t="s">
        <v>2101</v>
      </c>
      <c r="B45" s="397" t="s">
        <v>2102</v>
      </c>
      <c r="C45" s="398"/>
      <c r="D45" s="5"/>
      <c r="E45" s="5"/>
      <c r="F45" s="5"/>
      <c r="G45" s="5"/>
      <c r="H45" s="5"/>
      <c r="I45" s="5"/>
      <c r="J45" s="5"/>
      <c r="K45" s="5"/>
      <c r="L45" s="5"/>
      <c r="M45" s="5"/>
      <c r="N45" s="5"/>
      <c r="O45" s="5"/>
      <c r="P45" s="5"/>
    </row>
    <row r="46" spans="1:16" ht="73.5" hidden="1" customHeight="1" x14ac:dyDescent="0.2">
      <c r="A46" s="223" t="s">
        <v>2103</v>
      </c>
      <c r="B46" s="402" t="s">
        <v>2104</v>
      </c>
      <c r="C46" s="398"/>
      <c r="D46" s="5"/>
      <c r="E46" s="5"/>
      <c r="F46" s="5"/>
      <c r="G46" s="5"/>
      <c r="H46" s="5"/>
      <c r="I46" s="5"/>
      <c r="J46" s="5"/>
      <c r="K46" s="5"/>
      <c r="L46" s="5"/>
      <c r="M46" s="5"/>
      <c r="N46" s="5"/>
      <c r="O46" s="5"/>
      <c r="P46" s="5"/>
    </row>
    <row r="47" spans="1:16" ht="66" hidden="1" customHeight="1" x14ac:dyDescent="0.2">
      <c r="A47" s="39" t="s">
        <v>2105</v>
      </c>
      <c r="B47" s="403" t="s">
        <v>2106</v>
      </c>
      <c r="C47" s="403"/>
      <c r="D47" s="5"/>
      <c r="E47" s="5"/>
      <c r="F47" s="5"/>
      <c r="G47" s="5"/>
      <c r="H47" s="5"/>
      <c r="I47" s="5"/>
      <c r="J47" s="5"/>
      <c r="K47" s="5"/>
      <c r="L47" s="5"/>
      <c r="M47" s="5"/>
      <c r="N47" s="5"/>
      <c r="O47" s="5"/>
      <c r="P47" s="5"/>
    </row>
    <row r="48" spans="1:16" ht="123.75" customHeight="1" x14ac:dyDescent="0.2">
      <c r="A48" s="202" t="s">
        <v>2107</v>
      </c>
      <c r="B48" s="401" t="s">
        <v>2108</v>
      </c>
      <c r="C48" s="400"/>
      <c r="D48" s="5"/>
      <c r="E48" s="5"/>
      <c r="F48" s="5"/>
      <c r="G48" s="5"/>
      <c r="H48" s="5"/>
      <c r="I48" s="5"/>
      <c r="J48" s="5"/>
      <c r="K48" s="5"/>
      <c r="L48" s="5"/>
      <c r="M48" s="5"/>
      <c r="N48" s="5"/>
      <c r="O48" s="5"/>
      <c r="P48" s="5"/>
    </row>
    <row r="49" spans="1:16" ht="34.5" customHeight="1" x14ac:dyDescent="0.2">
      <c r="A49" s="202" t="s">
        <v>2109</v>
      </c>
      <c r="B49" s="399" t="s">
        <v>2110</v>
      </c>
      <c r="C49" s="400"/>
      <c r="D49" s="5"/>
      <c r="E49" s="5"/>
      <c r="F49" s="5"/>
      <c r="G49" s="5"/>
      <c r="H49" s="5"/>
      <c r="I49" s="5"/>
      <c r="J49" s="5"/>
      <c r="K49" s="5"/>
      <c r="L49" s="5"/>
      <c r="M49" s="5"/>
      <c r="N49" s="5"/>
      <c r="O49" s="5"/>
      <c r="P49" s="5"/>
    </row>
    <row r="50" spans="1:16" ht="34.5" customHeight="1" x14ac:dyDescent="0.2">
      <c r="A50" s="202" t="s">
        <v>2111</v>
      </c>
      <c r="B50" s="399" t="s">
        <v>2112</v>
      </c>
      <c r="C50" s="400"/>
      <c r="D50" s="5"/>
      <c r="E50" s="5"/>
      <c r="F50" s="5"/>
      <c r="G50" s="5"/>
      <c r="H50" s="5"/>
      <c r="I50" s="5"/>
      <c r="J50" s="5"/>
      <c r="K50" s="5"/>
      <c r="L50" s="5"/>
      <c r="M50" s="5"/>
      <c r="N50" s="5"/>
      <c r="O50" s="5"/>
      <c r="P50" s="5"/>
    </row>
    <row r="51" spans="1:16" ht="31.5" customHeight="1" x14ac:dyDescent="0.2">
      <c r="A51" s="224" t="s">
        <v>2113</v>
      </c>
      <c r="B51" s="397" t="s">
        <v>2114</v>
      </c>
      <c r="C51" s="398"/>
      <c r="D51" s="5"/>
      <c r="E51" s="5"/>
      <c r="F51" s="5"/>
      <c r="G51" s="5"/>
      <c r="H51" s="5"/>
      <c r="I51" s="5"/>
      <c r="J51" s="5"/>
      <c r="K51" s="5"/>
      <c r="L51" s="5"/>
      <c r="M51" s="5"/>
      <c r="N51" s="5"/>
      <c r="O51" s="5"/>
      <c r="P51" s="5"/>
    </row>
    <row r="52" spans="1:16" ht="31.5" customHeight="1" x14ac:dyDescent="0.2">
      <c r="A52" s="224" t="s">
        <v>2115</v>
      </c>
      <c r="B52" s="397" t="s">
        <v>2116</v>
      </c>
      <c r="C52" s="398"/>
      <c r="D52" s="5"/>
      <c r="E52" s="5"/>
      <c r="F52" s="5"/>
      <c r="G52" s="5"/>
      <c r="H52" s="5"/>
      <c r="I52" s="5"/>
      <c r="J52" s="5"/>
      <c r="K52" s="5"/>
      <c r="L52" s="5"/>
      <c r="M52" s="5"/>
      <c r="N52" s="5"/>
      <c r="O52" s="5"/>
      <c r="P52" s="5"/>
    </row>
    <row r="53" spans="1:16" ht="31.5" customHeight="1" x14ac:dyDescent="0.2">
      <c r="A53" s="224" t="s">
        <v>2117</v>
      </c>
      <c r="B53" s="404" t="s">
        <v>2118</v>
      </c>
      <c r="C53" s="405"/>
      <c r="D53" s="5"/>
      <c r="E53" s="5"/>
      <c r="F53" s="5"/>
      <c r="G53" s="5"/>
      <c r="H53" s="5"/>
      <c r="I53" s="5"/>
      <c r="J53" s="5"/>
      <c r="K53" s="5"/>
      <c r="L53" s="5"/>
      <c r="M53" s="5"/>
      <c r="N53" s="5"/>
      <c r="O53" s="5"/>
      <c r="P53" s="5"/>
    </row>
    <row r="54" spans="1:16" ht="31.5" customHeight="1" x14ac:dyDescent="0.2">
      <c r="A54" s="224" t="s">
        <v>2119</v>
      </c>
      <c r="B54" s="404" t="s">
        <v>2120</v>
      </c>
      <c r="C54" s="405"/>
      <c r="D54" s="5"/>
      <c r="E54" s="5"/>
      <c r="F54" s="5"/>
      <c r="G54" s="5"/>
      <c r="H54" s="5"/>
      <c r="I54" s="5"/>
      <c r="J54" s="5"/>
      <c r="K54" s="5"/>
      <c r="L54" s="5"/>
      <c r="M54" s="5"/>
      <c r="N54" s="5"/>
      <c r="O54" s="5"/>
      <c r="P54" s="5"/>
    </row>
    <row r="55" spans="1:16" ht="54.6" customHeight="1" x14ac:dyDescent="0.2">
      <c r="A55" s="224" t="s">
        <v>2121</v>
      </c>
      <c r="B55" s="404" t="s">
        <v>2122</v>
      </c>
      <c r="C55" s="405"/>
      <c r="D55" s="5"/>
      <c r="E55" s="5"/>
      <c r="F55" s="5"/>
      <c r="G55" s="5"/>
      <c r="H55" s="5"/>
      <c r="I55" s="5"/>
      <c r="J55" s="5"/>
      <c r="K55" s="5"/>
      <c r="L55" s="5"/>
      <c r="M55" s="5"/>
      <c r="N55" s="5"/>
      <c r="O55" s="5"/>
      <c r="P55" s="5"/>
    </row>
    <row r="56" spans="1:16" ht="54.6" customHeight="1" x14ac:dyDescent="0.2">
      <c r="A56" s="224" t="s">
        <v>2123</v>
      </c>
      <c r="B56" s="404" t="s">
        <v>2124</v>
      </c>
      <c r="C56" s="405"/>
      <c r="D56" s="5"/>
      <c r="E56" s="5"/>
      <c r="F56" s="5"/>
      <c r="G56" s="5"/>
      <c r="H56" s="5"/>
      <c r="I56" s="5"/>
      <c r="J56" s="5"/>
      <c r="K56" s="5"/>
      <c r="L56" s="5"/>
      <c r="M56" s="5"/>
      <c r="N56" s="5"/>
      <c r="O56" s="5"/>
      <c r="P56" s="5"/>
    </row>
    <row r="57" spans="1:16" ht="54" customHeight="1" x14ac:dyDescent="0.2">
      <c r="A57" s="224" t="s">
        <v>2125</v>
      </c>
      <c r="B57" s="404" t="s">
        <v>2126</v>
      </c>
      <c r="C57" s="405"/>
      <c r="D57" s="5"/>
      <c r="E57" s="5"/>
      <c r="F57" s="5"/>
      <c r="G57" s="5"/>
      <c r="H57" s="5"/>
      <c r="I57" s="5"/>
      <c r="J57" s="5"/>
      <c r="K57" s="5"/>
      <c r="L57" s="5"/>
      <c r="M57" s="5"/>
      <c r="N57" s="5"/>
      <c r="O57" s="5"/>
      <c r="P57" s="5"/>
    </row>
    <row r="58" spans="1:16" ht="31.15" customHeight="1" x14ac:dyDescent="0.2">
      <c r="A58" s="270" t="s">
        <v>2127</v>
      </c>
      <c r="B58" s="395" t="s">
        <v>2128</v>
      </c>
      <c r="C58" s="396"/>
      <c r="D58" s="5"/>
      <c r="E58" s="5"/>
      <c r="F58" s="5"/>
      <c r="G58" s="5"/>
      <c r="H58" s="5"/>
      <c r="I58" s="5"/>
      <c r="J58" s="5"/>
      <c r="K58" s="5"/>
      <c r="L58" s="5"/>
      <c r="M58" s="5"/>
      <c r="N58" s="5"/>
      <c r="O58" s="5"/>
      <c r="P58" s="5"/>
    </row>
    <row r="59" spans="1:16" ht="46.5" customHeight="1" x14ac:dyDescent="0.2">
      <c r="A59" s="302" t="s">
        <v>2129</v>
      </c>
      <c r="B59" s="410" t="s">
        <v>2130</v>
      </c>
      <c r="C59" s="411"/>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Općina Budinščina</cp:lastModifiedBy>
  <cp:lastPrinted>2026-02-14T12:49:10Z</cp:lastPrinted>
  <dcterms:created xsi:type="dcterms:W3CDTF">2022-04-01T05:14:30Z</dcterms:created>
  <dcterms:modified xsi:type="dcterms:W3CDTF">2026-02-14T12:49:12Z</dcterms:modified>
</cp:coreProperties>
</file>